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Gerencia Finanzas\03 - Investor Relations\02 - Quarterly Results\202503\Archivos Web Inversionistas\"/>
    </mc:Choice>
  </mc:AlternateContent>
  <xr:revisionPtr revIDLastSave="0" documentId="13_ncr:1_{9FAD8A28-E784-4E9F-8C89-97CF124107D0}" xr6:coauthVersionLast="47" xr6:coauthVersionMax="47" xr10:uidLastSave="{00000000-0000-0000-0000-000000000000}"/>
  <bookViews>
    <workbookView xWindow="-110" yWindow="-110" windowWidth="19420" windowHeight="11500" xr2:uid="{E24A7D8C-EC32-471E-8F59-429C7966D029}"/>
  </bookViews>
  <sheets>
    <sheet name="ESPAÑOL" sheetId="1" r:id="rId1"/>
    <sheet name="Hoja1" sheetId="3" r:id="rId2"/>
    <sheet name="Versión Data" sheetId="2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2" l="1"/>
  <c r="AC45" i="1"/>
  <c r="AC46" i="1" s="1"/>
  <c r="AD35" i="1"/>
  <c r="AA35" i="1"/>
  <c r="S21" i="1" l="1"/>
  <c r="T24" i="1"/>
  <c r="C15" i="3" l="1"/>
  <c r="C13" i="3"/>
  <c r="D12" i="3"/>
  <c r="C12" i="3"/>
  <c r="D11" i="3"/>
  <c r="C11" i="3"/>
  <c r="C10" i="3"/>
  <c r="C9" i="3"/>
  <c r="D8" i="3"/>
  <c r="C8" i="3"/>
  <c r="D6" i="3" l="1"/>
  <c r="C6" i="3"/>
  <c r="D5" i="3"/>
  <c r="C5" i="3"/>
  <c r="D4" i="3"/>
  <c r="C4" i="3"/>
  <c r="E12" i="3"/>
  <c r="E11" i="3"/>
  <c r="E8" i="3"/>
  <c r="E7" i="3"/>
  <c r="E5" i="3"/>
  <c r="E4" i="3" l="1"/>
  <c r="E6" i="3"/>
  <c r="S41" i="1" l="1"/>
  <c r="C14" i="3" s="1"/>
  <c r="T40" i="1"/>
  <c r="T39" i="1"/>
  <c r="T38" i="1"/>
  <c r="T37" i="1"/>
  <c r="T36" i="1"/>
  <c r="T35" i="1"/>
  <c r="T34" i="1"/>
  <c r="T26" i="1" l="1"/>
  <c r="T27" i="1"/>
  <c r="T41" i="1"/>
  <c r="T28" i="1" l="1"/>
  <c r="D15" i="3"/>
  <c r="E15" i="3" s="1"/>
  <c r="D14" i="3"/>
  <c r="E14" i="3" s="1"/>
  <c r="T23" i="1"/>
  <c r="T22" i="1"/>
  <c r="T20" i="1"/>
  <c r="T19" i="1"/>
  <c r="V35" i="1"/>
  <c r="V36" i="1"/>
  <c r="V37" i="1"/>
  <c r="V38" i="1"/>
  <c r="V39" i="1"/>
  <c r="V40" i="1"/>
  <c r="V41" i="1"/>
  <c r="V34" i="1"/>
  <c r="V24" i="1"/>
  <c r="V26" i="1"/>
  <c r="V27" i="1"/>
  <c r="V28" i="1"/>
  <c r="V30" i="1"/>
  <c r="V14" i="1"/>
  <c r="V15" i="1"/>
  <c r="V13" i="1"/>
  <c r="V5" i="1"/>
  <c r="V6" i="1"/>
  <c r="V7" i="1"/>
  <c r="V8" i="1"/>
  <c r="V9" i="1"/>
  <c r="V4" i="1"/>
  <c r="T33" i="1"/>
  <c r="S33" i="1"/>
  <c r="T18" i="1"/>
  <c r="S18" i="1"/>
  <c r="T12" i="1"/>
  <c r="S12" i="1"/>
  <c r="S41" i="2"/>
  <c r="Q40" i="2"/>
  <c r="S40" i="2" s="1"/>
  <c r="Q39" i="2"/>
  <c r="S39" i="2" s="1"/>
  <c r="S38" i="2"/>
  <c r="S37" i="2"/>
  <c r="Q36" i="2"/>
  <c r="S36" i="2" s="1"/>
  <c r="Q9" i="2"/>
  <c r="S9" i="2" s="1"/>
  <c r="S35" i="2"/>
  <c r="Q34" i="2"/>
  <c r="Q28" i="2" s="1"/>
  <c r="S28" i="2" s="1"/>
  <c r="Q33" i="2"/>
  <c r="B32" i="2"/>
  <c r="S30" i="2"/>
  <c r="Q29" i="2"/>
  <c r="S29" i="2" s="1"/>
  <c r="P27" i="2"/>
  <c r="R26" i="2"/>
  <c r="Q26" i="2"/>
  <c r="S26" i="2" s="1"/>
  <c r="R25" i="2"/>
  <c r="Q25" i="2"/>
  <c r="S25" i="2" s="1"/>
  <c r="S24" i="2"/>
  <c r="S23" i="2"/>
  <c r="S22" i="2"/>
  <c r="S21" i="2"/>
  <c r="S20" i="2"/>
  <c r="S19" i="2"/>
  <c r="Q18" i="2"/>
  <c r="B17" i="2"/>
  <c r="S15" i="2"/>
  <c r="S14" i="2"/>
  <c r="S13" i="2"/>
  <c r="Q12" i="2"/>
  <c r="B11" i="2"/>
  <c r="R9" i="2"/>
  <c r="S8" i="2"/>
  <c r="S7" i="2"/>
  <c r="S6" i="2"/>
  <c r="S5" i="2"/>
  <c r="S4" i="2"/>
  <c r="Q39" i="1"/>
  <c r="Q40" i="1"/>
  <c r="Q34" i="1"/>
  <c r="Q41" i="1" s="1"/>
  <c r="Q36" i="1"/>
  <c r="V23" i="1" l="1"/>
  <c r="D9" i="3"/>
  <c r="E9" i="3" s="1"/>
  <c r="V20" i="1"/>
  <c r="D10" i="3"/>
  <c r="E10" i="3" s="1"/>
  <c r="T21" i="1"/>
  <c r="V22" i="1"/>
  <c r="T29" i="1"/>
  <c r="V19" i="1"/>
  <c r="T25" i="1"/>
  <c r="D13" i="3"/>
  <c r="E13" i="3" s="1"/>
  <c r="S34" i="2"/>
  <c r="Q27" i="2"/>
  <c r="S27" i="2" s="1"/>
  <c r="Q26" i="1"/>
  <c r="Q25" i="1"/>
  <c r="Q29" i="1"/>
  <c r="Q28" i="1"/>
  <c r="P27" i="1"/>
  <c r="Q27" i="1"/>
  <c r="V29" i="1" l="1"/>
  <c r="V21" i="1"/>
  <c r="V25" i="1"/>
  <c r="Q33" i="1"/>
  <c r="Q18" i="1"/>
  <c r="Q12" i="1"/>
  <c r="B32" i="1" l="1"/>
  <c r="B17" i="1"/>
  <c r="B11" i="1"/>
  <c r="R26" i="1" l="1"/>
  <c r="R25" i="1"/>
  <c r="R9" i="1"/>
</calcChain>
</file>

<file path=xl/sharedStrings.xml><?xml version="1.0" encoding="utf-8"?>
<sst xmlns="http://schemas.openxmlformats.org/spreadsheetml/2006/main" count="132" uniqueCount="69">
  <si>
    <t>PRINCIPAL INFORMACIÓN FINANCIERA Y OPERACIONAL</t>
  </si>
  <si>
    <t>Información Operacional</t>
  </si>
  <si>
    <t>31 diciembre,</t>
  </si>
  <si>
    <t>%</t>
  </si>
  <si>
    <r>
      <t>Producción Total de Cobre ('000 tmf)</t>
    </r>
    <r>
      <rPr>
        <vertAlign val="superscript"/>
        <sz val="11"/>
        <color rgb="FF000000"/>
        <rFont val="Aptos Narrow"/>
        <family val="2"/>
        <scheme val="minor"/>
      </rPr>
      <t>(1)</t>
    </r>
  </si>
  <si>
    <t>Producción Total de Molibdeno ('000 tmf)</t>
  </si>
  <si>
    <t>Cash Cost (USc/lb)</t>
  </si>
  <si>
    <t>Venta Total de Cobre Propio ('000 tmf)</t>
  </si>
  <si>
    <t>Venta Total de Molibdeno ('000 tmf)</t>
  </si>
  <si>
    <t>Ley Promedio de Cobre</t>
  </si>
  <si>
    <t>Información de Mercado</t>
  </si>
  <si>
    <t>Precio del Cobre BML (USc/lb)</t>
  </si>
  <si>
    <t>Precio del Molibdeno Metals Week (US$/lb)</t>
  </si>
  <si>
    <t>Tipo de Cambio Promedio (CLP/US$)</t>
  </si>
  <si>
    <t>Información Financiera (US$ mm)</t>
  </si>
  <si>
    <t>Ingresos de Actividades Ordinarias</t>
  </si>
  <si>
    <t>Ganancia Bruta</t>
  </si>
  <si>
    <t>Margen Bruto (%)</t>
  </si>
  <si>
    <t>Costos Financieros Netos</t>
  </si>
  <si>
    <t>Depreciación y Amortización</t>
  </si>
  <si>
    <r>
      <t xml:space="preserve">EBITDA </t>
    </r>
    <r>
      <rPr>
        <vertAlign val="superscript"/>
        <sz val="11"/>
        <color rgb="FF000000"/>
        <rFont val="Aptos Narrow"/>
        <family val="2"/>
        <scheme val="minor"/>
      </rPr>
      <t>(3)</t>
    </r>
  </si>
  <si>
    <t>Margen EBITDA (%)</t>
  </si>
  <si>
    <t>Activos Corrientes / Pasivos Corrientes</t>
  </si>
  <si>
    <r>
      <t xml:space="preserve">Deuda Neta / Capitalización Total </t>
    </r>
    <r>
      <rPr>
        <vertAlign val="superscript"/>
        <sz val="11"/>
        <color rgb="FF000000"/>
        <rFont val="Aptos Narrow"/>
        <family val="2"/>
        <scheme val="minor"/>
      </rPr>
      <t>(4)</t>
    </r>
  </si>
  <si>
    <r>
      <t xml:space="preserve">Deuda Neta / EBITDA LTM </t>
    </r>
    <r>
      <rPr>
        <vertAlign val="superscript"/>
        <sz val="11"/>
        <color rgb="FF000000"/>
        <rFont val="Aptos Narrow"/>
        <family val="2"/>
        <scheme val="minor"/>
      </rPr>
      <t>(3), (4), (5)</t>
    </r>
  </si>
  <si>
    <r>
      <t xml:space="preserve">Contribución a la Tesorería de Chile </t>
    </r>
    <r>
      <rPr>
        <vertAlign val="superscript"/>
        <sz val="11"/>
        <color rgb="FF000000"/>
        <rFont val="Aptos Narrow"/>
        <family val="2"/>
        <scheme val="minor"/>
      </rPr>
      <t>(2)</t>
    </r>
  </si>
  <si>
    <t>Información de Balance (US$ mm)</t>
  </si>
  <si>
    <t>Efectivo y Equivalentes al Efectivo</t>
  </si>
  <si>
    <t>Activos Corrientes Totales</t>
  </si>
  <si>
    <t>Pasivos Corrientes Totales</t>
  </si>
  <si>
    <r>
      <t xml:space="preserve">Deuda Financiera </t>
    </r>
    <r>
      <rPr>
        <vertAlign val="superscript"/>
        <sz val="11"/>
        <color rgb="FF000000"/>
        <rFont val="Aptos Narrow"/>
        <family val="2"/>
        <scheme val="minor"/>
      </rPr>
      <t>(6)</t>
    </r>
  </si>
  <si>
    <t>Pasivos Totales</t>
  </si>
  <si>
    <t>Patrimonio Total</t>
  </si>
  <si>
    <r>
      <t>Deuda Financiera Neta</t>
    </r>
    <r>
      <rPr>
        <vertAlign val="superscript"/>
        <sz val="11"/>
        <color rgb="FF000000"/>
        <rFont val="Aptos Narrow"/>
        <family val="2"/>
        <scheme val="minor"/>
      </rPr>
      <t>(4)</t>
    </r>
  </si>
  <si>
    <t>Ley Reservada</t>
  </si>
  <si>
    <r>
      <rPr>
        <vertAlign val="superscript"/>
        <sz val="11"/>
        <color rgb="FF000000"/>
        <rFont val="Aptos Narrow"/>
        <family val="2"/>
        <scheme val="minor"/>
      </rPr>
      <t>(2)</t>
    </r>
    <r>
      <rPr>
        <sz val="11"/>
        <color rgb="FF000000"/>
        <rFont val="Aptos Narrow"/>
        <family val="2"/>
        <scheme val="minor"/>
      </rPr>
      <t xml:space="preserve"> La contribución a la Tesorería Chilena incluye impuestos a las ganancias, impuesto específico a la minería e impuesto a las exportaciones</t>
    </r>
  </si>
  <si>
    <r>
      <rPr>
        <vertAlign val="superscript"/>
        <sz val="11"/>
        <color rgb="FF000000"/>
        <rFont val="Aptos Narrow"/>
        <family val="2"/>
        <scheme val="minor"/>
      </rPr>
      <t>(4)</t>
    </r>
    <r>
      <rPr>
        <sz val="11"/>
        <color rgb="FF000000"/>
        <rFont val="Aptos Narrow"/>
        <family val="2"/>
        <scheme val="minor"/>
      </rPr>
      <t xml:space="preserve"> La deuda neta es la deuda financiera neta de efectivo y equivalentes al efectivo</t>
    </r>
  </si>
  <si>
    <r>
      <rPr>
        <vertAlign val="superscript"/>
        <sz val="11"/>
        <color rgb="FF000000"/>
        <rFont val="Aptos Narrow"/>
        <family val="2"/>
        <scheme val="minor"/>
      </rPr>
      <t>(5)</t>
    </r>
    <r>
      <rPr>
        <sz val="11"/>
        <color rgb="FF000000"/>
        <rFont val="Aptos Narrow"/>
        <family val="2"/>
        <scheme val="minor"/>
      </rPr>
      <t xml:space="preserve"> LTM EBITDA, EBITDA de los últimos 12 meses</t>
    </r>
  </si>
  <si>
    <r>
      <rPr>
        <vertAlign val="superscript"/>
        <sz val="11"/>
        <color rgb="FF000000"/>
        <rFont val="Aptos Narrow"/>
        <family val="2"/>
        <scheme val="minor"/>
      </rPr>
      <t>(6)</t>
    </r>
    <r>
      <rPr>
        <sz val="11"/>
        <color rgb="FF000000"/>
        <rFont val="Aptos Narrow"/>
        <family val="2"/>
        <scheme val="minor"/>
      </rPr>
      <t xml:space="preserve"> La deuda financiera no incluye efectos de swap. Desde 2018 y 2019 se incluyen leasings y arriendos de acuerdo a IFRS16</t>
    </r>
  </si>
  <si>
    <r>
      <rPr>
        <vertAlign val="superscript"/>
        <sz val="11"/>
        <color rgb="FF000000"/>
        <rFont val="Aptos Narrow"/>
        <family val="2"/>
        <scheme val="minor"/>
      </rPr>
      <t>(1)</t>
    </r>
    <r>
      <rPr>
        <sz val="11"/>
        <color rgb="FF000000"/>
        <rFont val="Aptos Narrow"/>
        <family val="2"/>
        <scheme val="minor"/>
      </rPr>
      <t xml:space="preserve"> Producción Total incluye la producción relativa a la participación de CODELCO en El Abra, Anglo American Sur y Quebrada Blanca</t>
    </r>
  </si>
  <si>
    <r>
      <rPr>
        <vertAlign val="superscript"/>
        <sz val="11"/>
        <color rgb="FF000000"/>
        <rFont val="Aptos Narrow"/>
        <family val="2"/>
        <scheme val="minor"/>
      </rPr>
      <t>(3)</t>
    </r>
    <r>
      <rPr>
        <sz val="11"/>
        <color rgb="FF000000"/>
        <rFont val="Aptos Narrow"/>
        <family val="2"/>
        <scheme val="minor"/>
      </rPr>
      <t xml:space="preserve"> El EBITDA Adjustado es definido como la ganancia neta más el total de los impuestos, los costos financieros y la depreciación y amortización. A partir de 2014, incluye también los castigos y deterioros.</t>
    </r>
  </si>
  <si>
    <t>Ley Promedio Cobre</t>
  </si>
  <si>
    <t>Concentradora</t>
  </si>
  <si>
    <t>Hidros</t>
  </si>
  <si>
    <t>Mineral Procesado</t>
  </si>
  <si>
    <t>Ley mineral procesado</t>
  </si>
  <si>
    <r>
      <t xml:space="preserve">EBITDA / Costos Financieros Netos </t>
    </r>
    <r>
      <rPr>
        <vertAlign val="superscript"/>
        <sz val="11"/>
        <color rgb="FF000000"/>
        <rFont val="Aptos Narrow"/>
        <family val="2"/>
        <scheme val="minor"/>
      </rPr>
      <t>(3)</t>
    </r>
  </si>
  <si>
    <t>Activos Totales</t>
  </si>
  <si>
    <t>March 31,</t>
  </si>
  <si>
    <t>(U.S Dollars in million)</t>
  </si>
  <si>
    <t>Change</t>
  </si>
  <si>
    <t>23/24</t>
  </si>
  <si>
    <t>Copper Production ('000 mft)¹</t>
  </si>
  <si>
    <t>Cash Cost (Usc/pound)</t>
  </si>
  <si>
    <t>LME Copper (Usc/pound)</t>
  </si>
  <si>
    <t>Realized price (Usc/pound)</t>
  </si>
  <si>
    <t>Average Exchange Rate (CLP/US$)</t>
  </si>
  <si>
    <t>Total Revenues</t>
  </si>
  <si>
    <t>Gross Profit</t>
  </si>
  <si>
    <t>Contribution to the Chilean Treasury</t>
  </si>
  <si>
    <t>Adjusted EBITDA²</t>
  </si>
  <si>
    <t>Adjusted EBITDA Margin (%)</t>
  </si>
  <si>
    <t>Net Financial Debt³</t>
  </si>
  <si>
    <t>Net Financial Debt to LTM Adjusted EBITDA</t>
  </si>
  <si>
    <t>¹ Total Production includes Codelco's share in El Abra, AAS and Quebrada Blanca</t>
  </si>
  <si>
    <t xml:space="preserve">² Adjusted EBITDA is defined as Net Income plus Income Tax, Royalty, Export Tax, Interest </t>
  </si>
  <si>
    <t xml:space="preserve">Expenses and Depreciation and Amortization and does not consider impaiments and other </t>
  </si>
  <si>
    <t>non cash-flow charges</t>
  </si>
  <si>
    <t>³ Consolidated Net Financial Debt includes bonds, bank loans and leasings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</si>
</sst>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0.0_);[Red]\(0.0\)"/>
    <numFmt numFmtId="165" formatCode="#,##0.0"/>
    <numFmt numFmtId="166" formatCode="0.0"/>
    <numFmt numFmtId="167" formatCode="0.0%"/>
    <numFmt numFmtId="168" formatCode="#,##0.000"/>
    <numFmt numFmtId="169" formatCode="_ * #,##0.0_ ;_ * \-#,##0.0_ ;_ * &quot;-&quot;_ ;_ @_ "/>
    <numFmt numFmtId="170" formatCode="_ * #,##0.000_ ;_ * \-#,##0.000_ ;_ * &quot;-&quot;?_ ;_ @_ "/>
    <numFmt numFmtId="171" formatCode="_ * #,##0.000_ ;_ * \-#,##0.000_ ;_ * &quot;-&quot;?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E36C0A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vertAlign val="superscript"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/>
    <xf numFmtId="3" fontId="0" fillId="0" borderId="0" xfId="0" applyNumberFormat="1" applyAlignment="1">
      <alignment horizontal="center"/>
    </xf>
    <xf numFmtId="167" fontId="0" fillId="0" borderId="0" xfId="1" applyNumberFormat="1" applyFont="1"/>
    <xf numFmtId="168" fontId="0" fillId="0" borderId="0" xfId="0" applyNumberFormat="1"/>
    <xf numFmtId="2" fontId="0" fillId="0" borderId="0" xfId="0" applyNumberFormat="1"/>
    <xf numFmtId="3" fontId="5" fillId="2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166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166" fontId="0" fillId="3" borderId="0" xfId="0" applyNumberFormat="1" applyFill="1" applyAlignment="1">
      <alignment horizontal="center"/>
    </xf>
    <xf numFmtId="3" fontId="0" fillId="0" borderId="0" xfId="0" applyNumberFormat="1"/>
    <xf numFmtId="10" fontId="0" fillId="0" borderId="0" xfId="1" applyNumberFormat="1" applyFont="1"/>
    <xf numFmtId="41" fontId="0" fillId="0" borderId="0" xfId="2" applyFont="1"/>
    <xf numFmtId="0" fontId="0" fillId="3" borderId="0" xfId="0" applyFill="1"/>
    <xf numFmtId="0" fontId="10" fillId="4" borderId="0" xfId="0" applyFont="1" applyFill="1" applyAlignment="1">
      <alignment horizontal="center"/>
    </xf>
    <xf numFmtId="0" fontId="11" fillId="3" borderId="2" xfId="0" applyFont="1" applyFill="1" applyBorder="1"/>
    <xf numFmtId="3" fontId="11" fillId="3" borderId="2" xfId="0" applyNumberFormat="1" applyFont="1" applyFill="1" applyBorder="1" applyAlignment="1">
      <alignment horizontal="center"/>
    </xf>
    <xf numFmtId="167" fontId="11" fillId="3" borderId="2" xfId="1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6" fontId="11" fillId="3" borderId="2" xfId="0" applyNumberFormat="1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3" fillId="0" borderId="0" xfId="0" applyFont="1"/>
    <xf numFmtId="169" fontId="0" fillId="0" borderId="0" xfId="2" applyNumberFormat="1" applyFont="1"/>
    <xf numFmtId="170" fontId="0" fillId="0" borderId="0" xfId="0" applyNumberFormat="1"/>
    <xf numFmtId="171" fontId="0" fillId="0" borderId="0" xfId="0" applyNumberFormat="1"/>
    <xf numFmtId="0" fontId="8" fillId="3" borderId="0" xfId="0" applyFont="1" applyFill="1"/>
    <xf numFmtId="10" fontId="8" fillId="3" borderId="0" xfId="1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294408</xdr:colOff>
      <xdr:row>4</xdr:row>
      <xdr:rowOff>31461</xdr:rowOff>
    </xdr:from>
    <xdr:to>
      <xdr:col>31</xdr:col>
      <xdr:colOff>469464</xdr:colOff>
      <xdr:row>30</xdr:row>
      <xdr:rowOff>117176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9AA8B-3DBD-4122-B176-7FADB439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1533" y="780761"/>
          <a:ext cx="8172881" cy="494664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47</xdr:row>
      <xdr:rowOff>0</xdr:rowOff>
    </xdr:from>
    <xdr:to>
      <xdr:col>32</xdr:col>
      <xdr:colOff>154040</xdr:colOff>
      <xdr:row>73</xdr:row>
      <xdr:rowOff>105254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2489D-DF0A-466F-ABF2-0A7499FA0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40250" y="8341179"/>
          <a:ext cx="8182254" cy="4758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erencia%20Finanzas\03%20-%20Investor%20Relations\02%20-%20Quarterly%20Results\202406\Archivos%20WEB%20Inversionistas\202406%20Key%20Financial%20Operational%20Data%20Comunicaciones.xlsx" TargetMode="External"/><Relationship Id="rId1" Type="http://schemas.openxmlformats.org/officeDocument/2006/relationships/externalLinkPath" Target="/Gerencia%20Finanzas/03%20-%20Investor%20Relations/02%20-%20Quarterly%20Results/202406/Archivos%20WEB%20Inversionistas/202406%20Key%20Financial%20Operational%20Data%20Comunic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erencia%20Finanzas\03%20-%20Investor%20Relations\02%20-%20Quarterly%20Results\202503\Resultados_mar25_v1D.xlsx" TargetMode="External"/><Relationship Id="rId1" Type="http://schemas.openxmlformats.org/officeDocument/2006/relationships/externalLinkPath" Target="/Gerencia%20Finanzas/03%20-%20Investor%20Relations/02%20-%20Quarterly%20Results/202503/Resultados_mar25_v1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erencia%20Finanzas\03%20-%20Investor%20Relations\02%20-%20Quarterly%20Results\202412\Resultados_dic24_v4D.xlsx" TargetMode="External"/><Relationship Id="rId1" Type="http://schemas.openxmlformats.org/officeDocument/2006/relationships/externalLinkPath" Target="/Gerencia%20Finanzas/03%20-%20Investor%20Relations/02%20-%20Quarterly%20Results/202412/Resultados_dic24_v4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LES"/>
      <sheetName val="ESPAÑOL"/>
      <sheetName val="Summary Data"/>
      <sheetName val="Tabla At a glance"/>
    </sheetNames>
    <sheetDataSet>
      <sheetData sheetId="0">
        <row r="9">
          <cell r="Q9"/>
        </row>
        <row r="25">
          <cell r="Q25"/>
        </row>
        <row r="26">
          <cell r="Q2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"/>
      <sheetName val="EERR CONS"/>
      <sheetName val="EBITDA_ Gestión"/>
      <sheetName val="DESPACH"/>
    </sheetNames>
    <sheetDataSet>
      <sheetData sheetId="0">
        <row r="6">
          <cell r="B6">
            <v>4227831</v>
          </cell>
        </row>
        <row r="33">
          <cell r="B33">
            <v>1159545</v>
          </cell>
        </row>
        <row r="39">
          <cell r="B39">
            <v>-569404</v>
          </cell>
        </row>
        <row r="40">
          <cell r="B40">
            <v>-15</v>
          </cell>
        </row>
        <row r="46">
          <cell r="B46">
            <v>22287</v>
          </cell>
        </row>
        <row r="47">
          <cell r="B47">
            <v>-231269</v>
          </cell>
        </row>
      </sheetData>
      <sheetData sheetId="1">
        <row r="13">
          <cell r="D13">
            <v>848280</v>
          </cell>
        </row>
        <row r="25">
          <cell r="D25">
            <v>6948352</v>
          </cell>
        </row>
        <row r="46">
          <cell r="D46">
            <v>50803983</v>
          </cell>
        </row>
        <row r="72">
          <cell r="D72">
            <v>4632888</v>
          </cell>
        </row>
        <row r="86">
          <cell r="D86">
            <v>34890512</v>
          </cell>
        </row>
        <row r="97">
          <cell r="D97">
            <v>11280583</v>
          </cell>
        </row>
      </sheetData>
      <sheetData sheetId="2">
        <row r="24">
          <cell r="C24">
            <v>1348160.6195099999</v>
          </cell>
        </row>
        <row r="41">
          <cell r="E41">
            <v>23994665</v>
          </cell>
        </row>
      </sheetData>
      <sheetData sheetId="3">
        <row r="19">
          <cell r="O19">
            <v>469.15215107205938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"/>
      <sheetName val="EERR CONS"/>
      <sheetName val="EBITDA_ Gestión"/>
      <sheetName val="DESPACH"/>
    </sheetNames>
    <sheetDataSet>
      <sheetData sheetId="0" refreshError="1"/>
      <sheetData sheetId="1">
        <row r="13">
          <cell r="D13">
            <v>680820</v>
          </cell>
        </row>
        <row r="46">
          <cell r="D46">
            <v>49700718</v>
          </cell>
        </row>
        <row r="72">
          <cell r="D72">
            <v>4958222</v>
          </cell>
        </row>
        <row r="86">
          <cell r="D86">
            <v>33441007</v>
          </cell>
        </row>
        <row r="97">
          <cell r="D97">
            <v>11301489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1F1C-F34D-4788-AA2C-32D17325E462}">
  <sheetPr>
    <tabColor rgb="FFFF0000"/>
    <pageSetUpPr fitToPage="1"/>
  </sheetPr>
  <dimension ref="A1:AG56"/>
  <sheetViews>
    <sheetView showGridLines="0" tabSelected="1" zoomScale="90" zoomScaleNormal="90" workbookViewId="0">
      <pane xSplit="1" ySplit="3" topLeftCell="J19" activePane="bottomRight" state="frozen"/>
      <selection pane="topRight" activeCell="B1" sqref="B1"/>
      <selection pane="bottomLeft" activeCell="A4" sqref="A4"/>
      <selection pane="bottomRight" activeCell="P22" sqref="P22"/>
    </sheetView>
  </sheetViews>
  <sheetFormatPr baseColWidth="10" defaultColWidth="11.453125" defaultRowHeight="14.5" x14ac:dyDescent="0.35"/>
  <cols>
    <col min="1" max="1" width="44.453125" customWidth="1"/>
    <col min="2" max="17" width="9.6328125" customWidth="1"/>
    <col min="18" max="18" width="0.54296875" customWidth="1"/>
    <col min="19" max="20" width="9.6328125" customWidth="1"/>
    <col min="21" max="21" width="0.54296875" customWidth="1"/>
    <col min="25" max="25" width="11.90625" customWidth="1"/>
  </cols>
  <sheetData>
    <row r="1" spans="1:22" x14ac:dyDescent="0.35">
      <c r="A1" s="1" t="s">
        <v>0</v>
      </c>
    </row>
    <row r="2" spans="1:22" ht="15" thickBot="1" x14ac:dyDescent="0.4">
      <c r="A2" s="55" t="s">
        <v>1</v>
      </c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2"/>
      <c r="S2" s="54" t="s">
        <v>48</v>
      </c>
      <c r="T2" s="54"/>
      <c r="U2" s="2"/>
      <c r="V2" s="4"/>
    </row>
    <row r="3" spans="1:22" x14ac:dyDescent="0.35">
      <c r="A3" s="56"/>
      <c r="B3" s="5">
        <v>2009</v>
      </c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  <c r="L3" s="5">
        <v>2019</v>
      </c>
      <c r="M3" s="5">
        <v>2020</v>
      </c>
      <c r="N3" s="5">
        <v>2021</v>
      </c>
      <c r="O3" s="5">
        <v>2022</v>
      </c>
      <c r="P3" s="5">
        <v>2023</v>
      </c>
      <c r="Q3" s="5">
        <v>2024</v>
      </c>
      <c r="R3" s="6"/>
      <c r="S3" s="5">
        <v>2024</v>
      </c>
      <c r="T3" s="5">
        <v>2025</v>
      </c>
      <c r="U3" s="6"/>
      <c r="V3" s="5" t="s">
        <v>3</v>
      </c>
    </row>
    <row r="4" spans="1:22" ht="16.25" customHeight="1" x14ac:dyDescent="0.35">
      <c r="A4" s="7" t="s">
        <v>4</v>
      </c>
      <c r="B4" s="8">
        <v>1782</v>
      </c>
      <c r="C4" s="8">
        <v>1760</v>
      </c>
      <c r="D4" s="8">
        <v>1796</v>
      </c>
      <c r="E4" s="8">
        <v>1758</v>
      </c>
      <c r="F4" s="8">
        <v>1792</v>
      </c>
      <c r="G4" s="8">
        <v>1841</v>
      </c>
      <c r="H4" s="8">
        <v>1891</v>
      </c>
      <c r="I4" s="8">
        <v>1827</v>
      </c>
      <c r="J4" s="8">
        <v>1842</v>
      </c>
      <c r="K4" s="8">
        <v>1806.3630000000001</v>
      </c>
      <c r="L4" s="8">
        <v>1706.2</v>
      </c>
      <c r="M4" s="8">
        <v>1727.3</v>
      </c>
      <c r="N4" s="8">
        <v>1728</v>
      </c>
      <c r="O4" s="8">
        <v>1445.6</v>
      </c>
      <c r="P4" s="8">
        <v>1424.231</v>
      </c>
      <c r="Q4" s="8">
        <v>1441.8904399999999</v>
      </c>
      <c r="R4" s="8"/>
      <c r="S4" s="25">
        <v>318.80200000000002</v>
      </c>
      <c r="T4" s="25">
        <v>323.91399999999999</v>
      </c>
      <c r="U4" s="8"/>
      <c r="V4" s="9">
        <f>+((T4/S4)-1)*100</f>
        <v>1.6035031147859646</v>
      </c>
    </row>
    <row r="5" spans="1:22" ht="14.4" customHeight="1" x14ac:dyDescent="0.35">
      <c r="A5" s="7" t="s">
        <v>5</v>
      </c>
      <c r="B5" s="10">
        <v>21.556000000000001</v>
      </c>
      <c r="C5" s="10">
        <v>21.677</v>
      </c>
      <c r="D5" s="10">
        <v>23.097999999999999</v>
      </c>
      <c r="E5" s="10">
        <v>19.675999999999998</v>
      </c>
      <c r="F5" s="10">
        <v>23.042999999999999</v>
      </c>
      <c r="G5" s="10">
        <v>30.628</v>
      </c>
      <c r="H5" s="10">
        <v>27.684000000000001</v>
      </c>
      <c r="I5" s="10">
        <v>30.640999999999998</v>
      </c>
      <c r="J5" s="10">
        <v>28.673999999999999</v>
      </c>
      <c r="K5" s="10">
        <v>24.030999999999999</v>
      </c>
      <c r="L5" s="10">
        <v>22.4</v>
      </c>
      <c r="M5" s="10">
        <v>27.9</v>
      </c>
      <c r="N5" s="10">
        <v>21</v>
      </c>
      <c r="O5" s="10">
        <v>20.13</v>
      </c>
      <c r="P5" s="10">
        <v>16.3</v>
      </c>
      <c r="Q5" s="10">
        <v>15.308</v>
      </c>
      <c r="R5" s="8"/>
      <c r="S5" s="26">
        <v>3.9449999999999998</v>
      </c>
      <c r="T5" s="26">
        <v>3.617</v>
      </c>
      <c r="U5" s="8"/>
      <c r="V5" s="9">
        <f>+((T5/S5)-1)*100</f>
        <v>-8.314321926489221</v>
      </c>
    </row>
    <row r="6" spans="1:22" ht="14.4" customHeight="1" x14ac:dyDescent="0.35">
      <c r="A6" s="7" t="s">
        <v>6</v>
      </c>
      <c r="B6" s="11">
        <v>92.9</v>
      </c>
      <c r="C6" s="11">
        <v>104.4</v>
      </c>
      <c r="D6" s="11">
        <v>116.4</v>
      </c>
      <c r="E6" s="11">
        <v>163.5</v>
      </c>
      <c r="F6" s="11">
        <v>163.1</v>
      </c>
      <c r="G6" s="11">
        <v>150.37</v>
      </c>
      <c r="H6" s="11">
        <v>138.69999999999999</v>
      </c>
      <c r="I6" s="11">
        <v>126.1</v>
      </c>
      <c r="J6" s="11">
        <v>135.9</v>
      </c>
      <c r="K6" s="11">
        <v>139.1</v>
      </c>
      <c r="L6" s="11">
        <v>141.6</v>
      </c>
      <c r="M6" s="11">
        <v>129.4</v>
      </c>
      <c r="N6" s="11">
        <v>132.69999999999999</v>
      </c>
      <c r="O6" s="11">
        <v>165.4</v>
      </c>
      <c r="P6" s="11">
        <v>203.1</v>
      </c>
      <c r="Q6" s="11">
        <v>199.1</v>
      </c>
      <c r="R6" s="12"/>
      <c r="S6" s="26">
        <v>193.5</v>
      </c>
      <c r="T6" s="26">
        <v>209.8</v>
      </c>
      <c r="U6" s="12"/>
      <c r="V6" s="9">
        <f t="shared" ref="V6:V9" si="0">+((T6/S6)-1)*100</f>
        <v>8.4237726098191246</v>
      </c>
    </row>
    <row r="7" spans="1:22" ht="14.4" customHeight="1" x14ac:dyDescent="0.35">
      <c r="A7" s="7" t="s">
        <v>7</v>
      </c>
      <c r="B7" s="8">
        <v>1937</v>
      </c>
      <c r="C7" s="8">
        <v>1898</v>
      </c>
      <c r="D7" s="8">
        <v>1855</v>
      </c>
      <c r="E7" s="8">
        <v>1740</v>
      </c>
      <c r="F7" s="8">
        <v>1723</v>
      </c>
      <c r="G7" s="8">
        <v>1687.7059999999999</v>
      </c>
      <c r="H7" s="8">
        <v>1773.683</v>
      </c>
      <c r="I7" s="8">
        <v>1860.4649999999999</v>
      </c>
      <c r="J7" s="8">
        <v>1846</v>
      </c>
      <c r="K7" s="8">
        <v>1838.15</v>
      </c>
      <c r="L7" s="8">
        <v>1804</v>
      </c>
      <c r="M7" s="8">
        <v>1858.9</v>
      </c>
      <c r="N7" s="8">
        <v>1846.16</v>
      </c>
      <c r="O7" s="8">
        <v>1664.3409999999999</v>
      </c>
      <c r="P7" s="8">
        <v>1562.6289999999999</v>
      </c>
      <c r="Q7" s="8">
        <v>1570.152</v>
      </c>
      <c r="R7" s="8"/>
      <c r="S7" s="25">
        <v>354.60700000000003</v>
      </c>
      <c r="T7" s="25">
        <v>350.053</v>
      </c>
      <c r="U7" s="8"/>
      <c r="V7" s="9">
        <f t="shared" si="0"/>
        <v>-1.2842386078109058</v>
      </c>
    </row>
    <row r="8" spans="1:22" ht="14.4" customHeight="1" x14ac:dyDescent="0.35">
      <c r="A8" s="7" t="s">
        <v>8</v>
      </c>
      <c r="B8" s="10">
        <v>21</v>
      </c>
      <c r="C8" s="10">
        <v>21</v>
      </c>
      <c r="D8" s="10">
        <v>23</v>
      </c>
      <c r="E8" s="10">
        <v>19</v>
      </c>
      <c r="F8" s="10">
        <v>22</v>
      </c>
      <c r="G8" s="10">
        <v>26.67</v>
      </c>
      <c r="H8" s="10">
        <v>26.029</v>
      </c>
      <c r="I8" s="10">
        <v>29.823</v>
      </c>
      <c r="J8" s="10">
        <v>28.917999999999999</v>
      </c>
      <c r="K8" s="10">
        <v>25.253</v>
      </c>
      <c r="L8" s="10">
        <v>23.512</v>
      </c>
      <c r="M8" s="10">
        <v>28.35</v>
      </c>
      <c r="N8" s="10">
        <v>21.263999999999999</v>
      </c>
      <c r="O8" s="10">
        <v>20.888999999999999</v>
      </c>
      <c r="P8" s="10">
        <v>16.963999999999999</v>
      </c>
      <c r="Q8" s="10">
        <v>16.029</v>
      </c>
      <c r="R8" s="8"/>
      <c r="S8" s="26">
        <v>3.4420000000000002</v>
      </c>
      <c r="T8" s="26">
        <v>3.823</v>
      </c>
      <c r="U8" s="8"/>
      <c r="V8" s="9">
        <f>+((T8/S8)-1)*100</f>
        <v>11.069145845438699</v>
      </c>
    </row>
    <row r="9" spans="1:22" ht="14.4" customHeight="1" x14ac:dyDescent="0.35">
      <c r="A9" s="7" t="s">
        <v>9</v>
      </c>
      <c r="B9" s="13">
        <v>0.83</v>
      </c>
      <c r="C9" s="13">
        <v>0.85</v>
      </c>
      <c r="D9" s="13">
        <v>0.84</v>
      </c>
      <c r="E9" s="13">
        <v>0.76</v>
      </c>
      <c r="F9" s="13">
        <v>0.79</v>
      </c>
      <c r="G9" s="13">
        <v>0.79</v>
      </c>
      <c r="H9" s="13">
        <v>0.77</v>
      </c>
      <c r="I9" s="13">
        <v>0.71</v>
      </c>
      <c r="J9" s="13">
        <v>0.71</v>
      </c>
      <c r="K9" s="13">
        <v>0.67</v>
      </c>
      <c r="L9" s="13">
        <v>0.67571785037001131</v>
      </c>
      <c r="M9" s="13">
        <v>0.68946351327589228</v>
      </c>
      <c r="N9" s="13">
        <v>0.69547692054720089</v>
      </c>
      <c r="O9" s="13">
        <v>0.69547692054720089</v>
      </c>
      <c r="P9" s="13">
        <v>0.64</v>
      </c>
      <c r="Q9" s="13">
        <v>0.64266576470183567</v>
      </c>
      <c r="R9" s="8">
        <f>[1]INGLES!Q9</f>
        <v>0</v>
      </c>
      <c r="S9" s="27">
        <v>0.61867761452031111</v>
      </c>
      <c r="T9" s="27">
        <v>0.61698668598858797</v>
      </c>
      <c r="U9" s="8"/>
      <c r="V9" s="9">
        <f t="shared" si="0"/>
        <v>-0.27331335287348324</v>
      </c>
    </row>
    <row r="10" spans="1:22" x14ac:dyDescent="0.35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7"/>
      <c r="T10" s="27"/>
      <c r="U10" s="13"/>
      <c r="V10" s="9"/>
    </row>
    <row r="11" spans="1:22" ht="15" thickBot="1" x14ac:dyDescent="0.4">
      <c r="A11" s="55" t="s">
        <v>10</v>
      </c>
      <c r="B11" s="54" t="str">
        <f>+B2</f>
        <v>31 diciembre,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"/>
      <c r="S11" s="54" t="s">
        <v>48</v>
      </c>
      <c r="T11" s="54"/>
      <c r="U11" s="2"/>
      <c r="V11" s="3"/>
    </row>
    <row r="12" spans="1:22" x14ac:dyDescent="0.35">
      <c r="A12" s="56"/>
      <c r="B12" s="5">
        <v>2009</v>
      </c>
      <c r="C12" s="5">
        <v>2010</v>
      </c>
      <c r="D12" s="5">
        <v>2011</v>
      </c>
      <c r="E12" s="5">
        <v>2012</v>
      </c>
      <c r="F12" s="5">
        <v>2013</v>
      </c>
      <c r="G12" s="5">
        <v>2014</v>
      </c>
      <c r="H12" s="5">
        <v>2015</v>
      </c>
      <c r="I12" s="5">
        <v>2016</v>
      </c>
      <c r="J12" s="5">
        <v>2017</v>
      </c>
      <c r="K12" s="5">
        <v>2018</v>
      </c>
      <c r="L12" s="5">
        <v>2019</v>
      </c>
      <c r="M12" s="5">
        <v>2020</v>
      </c>
      <c r="N12" s="5">
        <v>2021</v>
      </c>
      <c r="O12" s="5">
        <v>2022</v>
      </c>
      <c r="P12" s="5">
        <v>2023</v>
      </c>
      <c r="Q12" s="5">
        <f>+Q3</f>
        <v>2024</v>
      </c>
      <c r="R12" s="6"/>
      <c r="S12" s="28">
        <f>+S3</f>
        <v>2024</v>
      </c>
      <c r="T12" s="28">
        <f>+T3</f>
        <v>2025</v>
      </c>
      <c r="U12" s="6"/>
      <c r="V12" s="5" t="s">
        <v>3</v>
      </c>
    </row>
    <row r="13" spans="1:22" ht="14.4" customHeight="1" x14ac:dyDescent="0.35">
      <c r="A13" s="7" t="s">
        <v>11</v>
      </c>
      <c r="B13" s="11">
        <v>234.2</v>
      </c>
      <c r="C13" s="12">
        <v>342</v>
      </c>
      <c r="D13" s="11">
        <v>399.7</v>
      </c>
      <c r="E13" s="11">
        <v>360.6</v>
      </c>
      <c r="F13" s="11">
        <v>332.1</v>
      </c>
      <c r="G13" s="11">
        <v>311.3</v>
      </c>
      <c r="H13" s="11">
        <v>249.2</v>
      </c>
      <c r="I13" s="11">
        <v>220.6</v>
      </c>
      <c r="J13" s="11">
        <v>279.7</v>
      </c>
      <c r="K13" s="12">
        <v>295.88</v>
      </c>
      <c r="L13" s="12">
        <v>272.39999999999998</v>
      </c>
      <c r="M13" s="12">
        <v>279.8</v>
      </c>
      <c r="N13" s="12">
        <v>422.63400000000001</v>
      </c>
      <c r="O13" s="12">
        <v>399.02600000000001</v>
      </c>
      <c r="P13" s="12">
        <v>384.54500000000002</v>
      </c>
      <c r="Q13" s="12">
        <v>414.89100000000002</v>
      </c>
      <c r="R13" s="12"/>
      <c r="S13" s="29">
        <v>382.755</v>
      </c>
      <c r="T13" s="29">
        <v>423.673</v>
      </c>
      <c r="U13" s="12"/>
      <c r="V13" s="9">
        <f t="shared" ref="V13:V15" si="1">+((T13/S13)-1)*100</f>
        <v>10.690389413593548</v>
      </c>
    </row>
    <row r="14" spans="1:22" ht="14.4" customHeight="1" x14ac:dyDescent="0.35">
      <c r="A14" s="7" t="s">
        <v>12</v>
      </c>
      <c r="B14" s="11">
        <v>11.1</v>
      </c>
      <c r="C14" s="11">
        <v>15.8</v>
      </c>
      <c r="D14" s="11">
        <v>15.5</v>
      </c>
      <c r="E14" s="11">
        <v>12.4</v>
      </c>
      <c r="F14" s="11">
        <v>10.3</v>
      </c>
      <c r="G14" s="11">
        <v>11.3</v>
      </c>
      <c r="H14" s="11">
        <v>6.6</v>
      </c>
      <c r="I14" s="11">
        <v>6.4</v>
      </c>
      <c r="J14" s="11">
        <v>8.1</v>
      </c>
      <c r="K14" s="12">
        <v>11.94</v>
      </c>
      <c r="L14" s="12">
        <v>11.35</v>
      </c>
      <c r="M14" s="12">
        <v>8.6910000000000007</v>
      </c>
      <c r="N14" s="12">
        <v>15.85</v>
      </c>
      <c r="O14" s="12">
        <v>18.8</v>
      </c>
      <c r="P14" s="12">
        <v>24.140999999999998</v>
      </c>
      <c r="Q14" s="12">
        <v>21.297999999999998</v>
      </c>
      <c r="R14" s="12"/>
      <c r="S14" s="29">
        <v>19.93</v>
      </c>
      <c r="T14" s="29">
        <v>20.524999999999999</v>
      </c>
      <c r="U14" s="12"/>
      <c r="V14" s="9">
        <f t="shared" si="1"/>
        <v>2.9854490717511339</v>
      </c>
    </row>
    <row r="15" spans="1:22" ht="14.4" customHeight="1" x14ac:dyDescent="0.35">
      <c r="A15" s="7" t="s">
        <v>13</v>
      </c>
      <c r="B15" s="11">
        <v>560</v>
      </c>
      <c r="C15" s="11">
        <v>510</v>
      </c>
      <c r="D15" s="11">
        <v>484</v>
      </c>
      <c r="E15" s="11">
        <v>487</v>
      </c>
      <c r="F15" s="11">
        <v>495</v>
      </c>
      <c r="G15" s="11">
        <v>570</v>
      </c>
      <c r="H15" s="11">
        <v>654</v>
      </c>
      <c r="I15" s="11">
        <v>677</v>
      </c>
      <c r="J15" s="11">
        <v>649</v>
      </c>
      <c r="K15" s="11">
        <v>640</v>
      </c>
      <c r="L15" s="14">
        <v>702.63</v>
      </c>
      <c r="M15" s="14">
        <v>792.22</v>
      </c>
      <c r="N15" s="14">
        <v>759.27</v>
      </c>
      <c r="O15" s="14">
        <v>872.33</v>
      </c>
      <c r="P15" s="14">
        <v>839.07</v>
      </c>
      <c r="Q15" s="14">
        <v>943.58241935483863</v>
      </c>
      <c r="R15" s="14"/>
      <c r="S15" s="30">
        <v>945.50199999999995</v>
      </c>
      <c r="T15" s="30">
        <v>964.01253968253957</v>
      </c>
      <c r="U15" s="14"/>
      <c r="V15" s="9">
        <f t="shared" si="1"/>
        <v>1.957747279491695</v>
      </c>
    </row>
    <row r="16" spans="1:22" x14ac:dyDescent="0.35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7"/>
      <c r="T16" s="27"/>
      <c r="U16" s="11"/>
      <c r="V16" s="9"/>
    </row>
    <row r="17" spans="1:23" ht="15" thickBot="1" x14ac:dyDescent="0.4">
      <c r="A17" s="55" t="s">
        <v>14</v>
      </c>
      <c r="B17" s="54" t="str">
        <f>+B2</f>
        <v>31 diciembre,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2"/>
      <c r="S17" s="54" t="s">
        <v>48</v>
      </c>
      <c r="T17" s="54"/>
      <c r="U17" s="2"/>
      <c r="V17" s="3"/>
    </row>
    <row r="18" spans="1:23" x14ac:dyDescent="0.35">
      <c r="A18" s="56"/>
      <c r="B18" s="5">
        <v>2009</v>
      </c>
      <c r="C18" s="5">
        <v>2010</v>
      </c>
      <c r="D18" s="5">
        <v>2011</v>
      </c>
      <c r="E18" s="5">
        <v>2012</v>
      </c>
      <c r="F18" s="5">
        <v>2013</v>
      </c>
      <c r="G18" s="5">
        <v>2014</v>
      </c>
      <c r="H18" s="5">
        <v>2015</v>
      </c>
      <c r="I18" s="5">
        <v>2016</v>
      </c>
      <c r="J18" s="5">
        <v>2017</v>
      </c>
      <c r="K18" s="5">
        <v>2018</v>
      </c>
      <c r="L18" s="5">
        <v>2019</v>
      </c>
      <c r="M18" s="5">
        <v>2020</v>
      </c>
      <c r="N18" s="5">
        <v>2021</v>
      </c>
      <c r="O18" s="5">
        <v>2022</v>
      </c>
      <c r="P18" s="5">
        <v>2023</v>
      </c>
      <c r="Q18" s="5">
        <f>+Q3</f>
        <v>2024</v>
      </c>
      <c r="R18" s="6"/>
      <c r="S18" s="28">
        <f>+S3</f>
        <v>2024</v>
      </c>
      <c r="T18" s="28">
        <f>+T3</f>
        <v>2025</v>
      </c>
      <c r="U18" s="6"/>
      <c r="V18" s="5" t="s">
        <v>3</v>
      </c>
    </row>
    <row r="19" spans="1:23" ht="14.4" customHeight="1" x14ac:dyDescent="0.35">
      <c r="A19" s="7" t="s">
        <v>15</v>
      </c>
      <c r="B19" s="8">
        <v>12379</v>
      </c>
      <c r="C19" s="8">
        <v>16066</v>
      </c>
      <c r="D19" s="8">
        <v>17515</v>
      </c>
      <c r="E19" s="8">
        <v>15860</v>
      </c>
      <c r="F19" s="8">
        <v>14956</v>
      </c>
      <c r="G19" s="8">
        <v>13827</v>
      </c>
      <c r="H19" s="8">
        <v>11693.492</v>
      </c>
      <c r="I19" s="8">
        <v>11536.751</v>
      </c>
      <c r="J19" s="8">
        <v>14641.555</v>
      </c>
      <c r="K19" s="8">
        <v>14308.758</v>
      </c>
      <c r="L19" s="8">
        <v>12524.931</v>
      </c>
      <c r="M19" s="8">
        <v>14173.168</v>
      </c>
      <c r="N19" s="8">
        <v>21024.814999999999</v>
      </c>
      <c r="O19" s="8">
        <v>17018.409</v>
      </c>
      <c r="P19" s="8">
        <v>16393.228999999999</v>
      </c>
      <c r="Q19" s="8">
        <v>16993.379000000001</v>
      </c>
      <c r="R19" s="8"/>
      <c r="S19" s="25">
        <v>3690.3009999999999</v>
      </c>
      <c r="T19" s="25">
        <f>+[2]EERR!$B$6/1000</f>
        <v>4227.8310000000001</v>
      </c>
      <c r="U19" s="8"/>
      <c r="V19" s="9">
        <f t="shared" ref="V19:V30" si="2">+((T19/S19)-1)*100</f>
        <v>14.566020495347143</v>
      </c>
      <c r="W19" s="49"/>
    </row>
    <row r="20" spans="1:23" ht="14.4" customHeight="1" x14ac:dyDescent="0.35">
      <c r="A20" s="7" t="s">
        <v>16</v>
      </c>
      <c r="B20" s="8">
        <v>4713</v>
      </c>
      <c r="C20" s="8">
        <v>6977</v>
      </c>
      <c r="D20" s="8">
        <v>7232</v>
      </c>
      <c r="E20" s="8">
        <v>5253</v>
      </c>
      <c r="F20" s="8">
        <v>4154</v>
      </c>
      <c r="G20" s="8">
        <v>3715</v>
      </c>
      <c r="H20" s="8">
        <v>1776.6869999999999</v>
      </c>
      <c r="I20" s="8">
        <v>2087.0830000000001</v>
      </c>
      <c r="J20" s="8">
        <v>4261.152</v>
      </c>
      <c r="K20" s="8">
        <v>3114.4169999999999</v>
      </c>
      <c r="L20" s="8">
        <v>2473.4899999999998</v>
      </c>
      <c r="M20" s="8">
        <v>3607.989</v>
      </c>
      <c r="N20" s="8">
        <v>8839.1270000000004</v>
      </c>
      <c r="O20" s="8">
        <v>4733.7569999999996</v>
      </c>
      <c r="P20" s="8">
        <v>3119.886</v>
      </c>
      <c r="Q20" s="8">
        <v>4087.6410000000001</v>
      </c>
      <c r="R20" s="8"/>
      <c r="S20" s="25">
        <v>848.69899999999996</v>
      </c>
      <c r="T20" s="25">
        <f>+[2]EERR!$B$33/1000</f>
        <v>1159.5450000000001</v>
      </c>
      <c r="U20" s="8"/>
      <c r="V20" s="9">
        <f t="shared" si="2"/>
        <v>36.62617724305084</v>
      </c>
      <c r="W20" s="49"/>
    </row>
    <row r="21" spans="1:23" ht="14.4" customHeight="1" x14ac:dyDescent="0.35">
      <c r="A21" s="7" t="s">
        <v>17</v>
      </c>
      <c r="B21" s="10">
        <v>38.072542208579044</v>
      </c>
      <c r="C21" s="10">
        <v>43.427113158222333</v>
      </c>
      <c r="D21" s="10">
        <v>41.29032258064516</v>
      </c>
      <c r="E21" s="10">
        <v>33.121059268600249</v>
      </c>
      <c r="F21" s="10">
        <v>27.774806097887133</v>
      </c>
      <c r="G21" s="10">
        <v>26.867722571779851</v>
      </c>
      <c r="H21" s="10">
        <v>15.193810369049723</v>
      </c>
      <c r="I21" s="10">
        <v>18.090734557762406</v>
      </c>
      <c r="J21" s="10">
        <v>29.103138293712654</v>
      </c>
      <c r="K21" s="10">
        <v>21.765809443419197</v>
      </c>
      <c r="L21" s="10">
        <v>19.748531948000352</v>
      </c>
      <c r="M21" s="10">
        <v>25.45647522134783</v>
      </c>
      <c r="N21" s="10">
        <v>42.041402028983377</v>
      </c>
      <c r="O21" s="10">
        <v>27.815508488484436</v>
      </c>
      <c r="P21" s="10">
        <v>19.031552600161934</v>
      </c>
      <c r="Q21" s="10">
        <v>24.054315507233728</v>
      </c>
      <c r="R21" s="10"/>
      <c r="S21" s="26">
        <f>+(S20/S19)*100</f>
        <v>22.998096903206537</v>
      </c>
      <c r="T21" s="26">
        <f>+(T20/T19)*100</f>
        <v>27.426474710081838</v>
      </c>
      <c r="U21" s="10"/>
      <c r="V21" s="9">
        <f t="shared" si="2"/>
        <v>19.255409808530153</v>
      </c>
      <c r="W21" s="35"/>
    </row>
    <row r="22" spans="1:23" ht="14.4" customHeight="1" x14ac:dyDescent="0.35">
      <c r="A22" s="7" t="s">
        <v>18</v>
      </c>
      <c r="B22" s="11">
        <v>291</v>
      </c>
      <c r="C22" s="11">
        <v>296</v>
      </c>
      <c r="D22" s="11">
        <v>250</v>
      </c>
      <c r="E22" s="11">
        <v>347</v>
      </c>
      <c r="F22" s="11">
        <v>298</v>
      </c>
      <c r="G22" s="14">
        <v>444.92700000000002</v>
      </c>
      <c r="H22" s="14">
        <v>507.649</v>
      </c>
      <c r="I22" s="14">
        <v>523.94499999999994</v>
      </c>
      <c r="J22" s="14">
        <v>614.774</v>
      </c>
      <c r="K22" s="14">
        <v>412.11900000000003</v>
      </c>
      <c r="L22" s="14">
        <v>442</v>
      </c>
      <c r="M22" s="14">
        <v>702.25099999999998</v>
      </c>
      <c r="N22" s="14">
        <v>627.35199999999998</v>
      </c>
      <c r="O22" s="14">
        <v>521.81500000000005</v>
      </c>
      <c r="P22" s="14">
        <v>679.85900000000004</v>
      </c>
      <c r="Q22" s="14">
        <v>785.55499999999995</v>
      </c>
      <c r="R22" s="14"/>
      <c r="S22" s="30">
        <v>194.54400000000001</v>
      </c>
      <c r="T22" s="30">
        <f>+-([2]EERR!$B$47+[2]EERR!$B$46)/1000</f>
        <v>208.982</v>
      </c>
      <c r="U22" s="14"/>
      <c r="V22" s="9">
        <f t="shared" si="2"/>
        <v>7.4214573566905084</v>
      </c>
    </row>
    <row r="23" spans="1:23" ht="14.4" customHeight="1" x14ac:dyDescent="0.35">
      <c r="A23" s="7" t="s">
        <v>19</v>
      </c>
      <c r="B23" s="8">
        <v>1082</v>
      </c>
      <c r="C23" s="8">
        <v>1305</v>
      </c>
      <c r="D23" s="8">
        <v>1485</v>
      </c>
      <c r="E23" s="8">
        <v>1606</v>
      </c>
      <c r="F23" s="8">
        <v>1748</v>
      </c>
      <c r="G23" s="8">
        <v>1946.857</v>
      </c>
      <c r="H23" s="8">
        <v>2024.84</v>
      </c>
      <c r="I23" s="8">
        <v>1936.152</v>
      </c>
      <c r="J23" s="8">
        <v>2101.1010000000001</v>
      </c>
      <c r="K23" s="8">
        <v>2181.14</v>
      </c>
      <c r="L23" s="8">
        <v>2220</v>
      </c>
      <c r="M23" s="8">
        <v>2455.0700000000002</v>
      </c>
      <c r="N23" s="8">
        <v>2259.3240000000001</v>
      </c>
      <c r="O23" s="8">
        <v>2227.2840000000001</v>
      </c>
      <c r="P23" s="8">
        <v>2292.1260000000002</v>
      </c>
      <c r="Q23" s="8">
        <v>2266.721</v>
      </c>
      <c r="R23" s="8"/>
      <c r="S23" s="25">
        <v>538.50300000000004</v>
      </c>
      <c r="T23" s="25">
        <f>+-([2]EERR!$B$39+[2]EERR!$B$40)/1000</f>
        <v>569.41899999999998</v>
      </c>
      <c r="U23" s="8"/>
      <c r="V23" s="9">
        <f t="shared" si="2"/>
        <v>5.7411007923818369</v>
      </c>
    </row>
    <row r="24" spans="1:23" ht="16.25" customHeight="1" x14ac:dyDescent="0.35">
      <c r="A24" s="7" t="s">
        <v>20</v>
      </c>
      <c r="B24" s="8">
        <v>5369</v>
      </c>
      <c r="C24" s="8">
        <v>7434</v>
      </c>
      <c r="D24" s="8">
        <v>8813</v>
      </c>
      <c r="E24" s="8">
        <v>9818</v>
      </c>
      <c r="F24" s="8">
        <v>5964</v>
      </c>
      <c r="G24" s="8">
        <v>5444.5240000000003</v>
      </c>
      <c r="H24" s="8">
        <v>3575.306</v>
      </c>
      <c r="I24" s="8">
        <v>2918.4780000000001</v>
      </c>
      <c r="J24" s="8">
        <v>5594</v>
      </c>
      <c r="K24" s="8">
        <v>4695.7920000000004</v>
      </c>
      <c r="L24" s="8">
        <v>4042.748</v>
      </c>
      <c r="M24" s="8">
        <v>5289.0810000000001</v>
      </c>
      <c r="N24" s="8">
        <v>10378.724</v>
      </c>
      <c r="O24" s="8">
        <v>5565.01</v>
      </c>
      <c r="P24" s="8">
        <v>4184.2749999999996</v>
      </c>
      <c r="Q24" s="8">
        <v>5439.0219999999999</v>
      </c>
      <c r="R24" s="8"/>
      <c r="S24" s="25">
        <v>1528.6790000000001</v>
      </c>
      <c r="T24" s="25">
        <f>+'[2]EBITDA_ Gestión'!$C$24/1000</f>
        <v>1348.1606195099998</v>
      </c>
      <c r="U24" s="8"/>
      <c r="V24" s="9">
        <f t="shared" si="2"/>
        <v>-11.808782647632388</v>
      </c>
      <c r="W24" s="34"/>
    </row>
    <row r="25" spans="1:23" ht="14.4" customHeight="1" x14ac:dyDescent="0.35">
      <c r="A25" s="7" t="s">
        <v>21</v>
      </c>
      <c r="B25" s="12">
        <v>43.371839405444703</v>
      </c>
      <c r="C25" s="12">
        <v>46.271629528196186</v>
      </c>
      <c r="D25" s="12">
        <v>50.316871253211538</v>
      </c>
      <c r="E25" s="12">
        <v>61.904161412358135</v>
      </c>
      <c r="F25" s="12">
        <v>39.876972452527411</v>
      </c>
      <c r="G25" s="12">
        <v>39.376032400376076</v>
      </c>
      <c r="H25" s="12">
        <v>30.575178056306875</v>
      </c>
      <c r="I25" s="12">
        <v>25.297226229464432</v>
      </c>
      <c r="J25" s="12">
        <v>38.707049900095996</v>
      </c>
      <c r="K25" s="12">
        <v>32.817607230480803</v>
      </c>
      <c r="L25" s="12">
        <v>32.277606958473463</v>
      </c>
      <c r="M25" s="12">
        <v>37.317563723226876</v>
      </c>
      <c r="N25" s="12">
        <v>37.317563723226876</v>
      </c>
      <c r="O25" s="12">
        <v>32.699942750230058</v>
      </c>
      <c r="P25" s="12">
        <v>25.524410108588121</v>
      </c>
      <c r="Q25" s="12">
        <f>100*Q24/Q19</f>
        <v>32.006712732058759</v>
      </c>
      <c r="R25" s="8">
        <f>[1]INGLES!Q25</f>
        <v>0</v>
      </c>
      <c r="S25" s="29">
        <v>41.424236125996231</v>
      </c>
      <c r="T25" s="29">
        <f>+(T24/T19)*100</f>
        <v>31.887760402674559</v>
      </c>
      <c r="U25" s="8"/>
      <c r="V25" s="9">
        <f t="shared" si="2"/>
        <v>-23.021488421211835</v>
      </c>
    </row>
    <row r="26" spans="1:23" ht="14.4" customHeight="1" x14ac:dyDescent="0.35">
      <c r="A26" s="7" t="s">
        <v>22</v>
      </c>
      <c r="B26" s="15">
        <v>1.2194288503783257</v>
      </c>
      <c r="C26" s="15">
        <v>1.263157894736842</v>
      </c>
      <c r="D26" s="15">
        <v>1.3376358695652173</v>
      </c>
      <c r="E26" s="15">
        <v>1.578804350452238</v>
      </c>
      <c r="F26" s="15">
        <v>1.4354565364897867</v>
      </c>
      <c r="G26" s="15">
        <v>1.7219421477780714</v>
      </c>
      <c r="H26" s="15">
        <v>1.6275072618578104</v>
      </c>
      <c r="I26" s="15">
        <v>1.9047746292010446</v>
      </c>
      <c r="J26" s="15">
        <v>1.8733631210910353</v>
      </c>
      <c r="K26" s="15">
        <v>1.646659388621613</v>
      </c>
      <c r="L26" s="15">
        <v>1.5422093589096184</v>
      </c>
      <c r="M26" s="15">
        <v>2.2991670424031319</v>
      </c>
      <c r="N26" s="15">
        <v>1.9807445116971156</v>
      </c>
      <c r="O26" s="15">
        <v>1.733163881509558</v>
      </c>
      <c r="P26" s="15">
        <v>1.6627074055716</v>
      </c>
      <c r="Q26" s="15">
        <f>+Q35/Q37</f>
        <v>1.3001612271495711</v>
      </c>
      <c r="R26" s="8">
        <f>[1]INGLES!Q26</f>
        <v>0</v>
      </c>
      <c r="S26" s="31">
        <v>2.1309271065885267</v>
      </c>
      <c r="T26" s="31">
        <f>+(T35/T37)</f>
        <v>1.4997884688772964</v>
      </c>
      <c r="U26" s="8"/>
      <c r="V26" s="9">
        <f t="shared" si="2"/>
        <v>-29.618030375597481</v>
      </c>
    </row>
    <row r="27" spans="1:23" ht="16.5" x14ac:dyDescent="0.35">
      <c r="A27" s="7" t="s">
        <v>23</v>
      </c>
      <c r="B27" s="12">
        <v>42.750232302786294</v>
      </c>
      <c r="C27" s="12">
        <v>50.309985707110968</v>
      </c>
      <c r="D27" s="12">
        <v>43.20573432972396</v>
      </c>
      <c r="E27" s="12">
        <v>36.674167279574476</v>
      </c>
      <c r="F27" s="12">
        <v>43.816110313385018</v>
      </c>
      <c r="G27" s="12">
        <v>49.094655065294809</v>
      </c>
      <c r="H27" s="12">
        <v>53.445746704554288</v>
      </c>
      <c r="I27" s="12">
        <v>57.971749639899549</v>
      </c>
      <c r="J27" s="12">
        <v>51.917097624241094</v>
      </c>
      <c r="K27" s="12">
        <v>52.060299535822473</v>
      </c>
      <c r="L27" s="12">
        <v>55.302160167359119</v>
      </c>
      <c r="M27" s="12">
        <v>53.285573906436788</v>
      </c>
      <c r="N27" s="12">
        <v>54.81822394328573</v>
      </c>
      <c r="O27" s="12">
        <v>56.303787817946507</v>
      </c>
      <c r="P27" s="12">
        <f>+(P38-P34)/(P38+P40)*100</f>
        <v>60.849164587357599</v>
      </c>
      <c r="Q27" s="12">
        <f>+(Q38-Q34)/(Q38+Q40)*100</f>
        <v>65.163075312308237</v>
      </c>
      <c r="R27" s="15"/>
      <c r="S27" s="29">
        <v>58.082796465779516</v>
      </c>
      <c r="T27" s="12">
        <f>+(T38-T34)/(T38+T40)*100</f>
        <v>65.616505375100417</v>
      </c>
      <c r="U27" s="15"/>
      <c r="V27" s="9">
        <f t="shared" si="2"/>
        <v>12.970637379278926</v>
      </c>
    </row>
    <row r="28" spans="1:23" ht="16.5" x14ac:dyDescent="0.35">
      <c r="A28" s="7" t="s">
        <v>24</v>
      </c>
      <c r="B28" s="16">
        <v>0.72545241199478483</v>
      </c>
      <c r="C28" s="16">
        <v>0.73613626580575731</v>
      </c>
      <c r="D28" s="16">
        <v>0.64291387722682403</v>
      </c>
      <c r="E28" s="16">
        <v>0.79295253615807704</v>
      </c>
      <c r="F28" s="16">
        <v>1.7206155264922871</v>
      </c>
      <c r="G28" s="16">
        <v>2.2793854889793854</v>
      </c>
      <c r="H28" s="16">
        <v>3.6896791491413601</v>
      </c>
      <c r="I28" s="16">
        <v>4.9517128448458418</v>
      </c>
      <c r="J28" s="16">
        <v>2.3577904806403875</v>
      </c>
      <c r="K28" s="16">
        <v>2.9611596936150497</v>
      </c>
      <c r="L28" s="16">
        <v>4.0124121018673433</v>
      </c>
      <c r="M28" s="16">
        <v>3.05738823058297</v>
      </c>
      <c r="N28" s="16">
        <v>1.5406199259176754</v>
      </c>
      <c r="O28" s="16">
        <v>2.9365747770444255</v>
      </c>
      <c r="P28" s="16">
        <v>4.6017099736513494</v>
      </c>
      <c r="Q28" s="16">
        <f>(Q38-Q34)/Q24</f>
        <v>4.120799290754845</v>
      </c>
      <c r="R28" s="17"/>
      <c r="S28" s="32">
        <v>4.2660819852440746</v>
      </c>
      <c r="T28" s="32">
        <f>+(T41/(Q24-S24+T24))</f>
        <v>4.4017056324013399</v>
      </c>
      <c r="U28" s="17"/>
      <c r="V28" s="9">
        <f t="shared" si="2"/>
        <v>3.179114879328937</v>
      </c>
    </row>
    <row r="29" spans="1:23" ht="16.5" x14ac:dyDescent="0.35">
      <c r="A29" s="7" t="s">
        <v>46</v>
      </c>
      <c r="B29" s="18">
        <v>18.45017182130584</v>
      </c>
      <c r="C29" s="18">
        <v>25.114864864864863</v>
      </c>
      <c r="D29" s="18">
        <v>35.252000000000002</v>
      </c>
      <c r="E29" s="18">
        <v>28.293948126801151</v>
      </c>
      <c r="F29" s="18">
        <v>20.013422818791945</v>
      </c>
      <c r="G29" s="18">
        <v>12.236892793649295</v>
      </c>
      <c r="H29" s="18">
        <v>7.0428701721071052</v>
      </c>
      <c r="I29" s="18">
        <v>5.570199162125796</v>
      </c>
      <c r="J29" s="18">
        <v>9.2185323387130893</v>
      </c>
      <c r="K29" s="18">
        <v>11.394262336849309</v>
      </c>
      <c r="L29" s="18">
        <v>9.1464886877828047</v>
      </c>
      <c r="M29" s="18">
        <v>7.5316104925446892</v>
      </c>
      <c r="N29" s="18">
        <v>16.543701143855444</v>
      </c>
      <c r="O29" s="18">
        <v>10.664718338874888</v>
      </c>
      <c r="P29" s="18">
        <v>6.1546217671605428</v>
      </c>
      <c r="Q29" s="18">
        <f>+Q24/Q22</f>
        <v>6.9237952784973684</v>
      </c>
      <c r="R29" s="18"/>
      <c r="S29" s="33">
        <v>7.8577545439592074</v>
      </c>
      <c r="T29" s="18">
        <f>+T24/T22</f>
        <v>6.4510848757787747</v>
      </c>
      <c r="U29" s="18"/>
      <c r="V29" s="9">
        <f t="shared" si="2"/>
        <v>-17.901674839943116</v>
      </c>
    </row>
    <row r="30" spans="1:23" s="19" customFormat="1" ht="16.5" x14ac:dyDescent="0.35">
      <c r="A30" s="7" t="s">
        <v>25</v>
      </c>
      <c r="B30" s="8">
        <v>2966</v>
      </c>
      <c r="C30" s="8">
        <v>5992</v>
      </c>
      <c r="D30" s="8">
        <v>6901</v>
      </c>
      <c r="E30" s="8">
        <v>3177</v>
      </c>
      <c r="F30" s="8">
        <v>2861</v>
      </c>
      <c r="G30" s="8">
        <v>2234</v>
      </c>
      <c r="H30" s="8">
        <v>1088</v>
      </c>
      <c r="I30" s="8">
        <v>942</v>
      </c>
      <c r="J30" s="8">
        <v>1366</v>
      </c>
      <c r="K30" s="8">
        <v>1809</v>
      </c>
      <c r="L30" s="8">
        <v>1000</v>
      </c>
      <c r="M30" s="8">
        <v>1292</v>
      </c>
      <c r="N30" s="8">
        <v>5548.1</v>
      </c>
      <c r="O30" s="8">
        <v>2295.4</v>
      </c>
      <c r="P30" s="8">
        <v>1426.8810000000001</v>
      </c>
      <c r="Q30" s="8">
        <v>1534</v>
      </c>
      <c r="R30" s="18"/>
      <c r="S30" s="25">
        <v>341</v>
      </c>
      <c r="T30" s="25">
        <v>222</v>
      </c>
      <c r="U30" s="18"/>
      <c r="V30" s="9">
        <f t="shared" si="2"/>
        <v>-34.897360703812318</v>
      </c>
    </row>
    <row r="31" spans="1:23" s="19" customFormat="1" x14ac:dyDescent="0.3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25"/>
      <c r="T31" s="25"/>
      <c r="U31" s="8"/>
      <c r="V31" s="9"/>
    </row>
    <row r="32" spans="1:23" ht="15" thickBot="1" x14ac:dyDescent="0.4">
      <c r="A32" s="55" t="s">
        <v>26</v>
      </c>
      <c r="B32" s="54" t="str">
        <f>+B2</f>
        <v>31 diciembre,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2"/>
      <c r="S32" s="54" t="s">
        <v>48</v>
      </c>
      <c r="T32" s="54"/>
      <c r="U32" s="2"/>
      <c r="V32" s="3"/>
    </row>
    <row r="33" spans="1:33" x14ac:dyDescent="0.35">
      <c r="A33" s="56"/>
      <c r="B33" s="5">
        <v>2009</v>
      </c>
      <c r="C33" s="5">
        <v>2010</v>
      </c>
      <c r="D33" s="5">
        <v>2011</v>
      </c>
      <c r="E33" s="5">
        <v>2012</v>
      </c>
      <c r="F33" s="5">
        <v>2013</v>
      </c>
      <c r="G33" s="5">
        <v>2014</v>
      </c>
      <c r="H33" s="5">
        <v>2015</v>
      </c>
      <c r="I33" s="5">
        <v>2016</v>
      </c>
      <c r="J33" s="5">
        <v>2017</v>
      </c>
      <c r="K33" s="5">
        <v>2018</v>
      </c>
      <c r="L33" s="5">
        <v>2019</v>
      </c>
      <c r="M33" s="5">
        <v>2020</v>
      </c>
      <c r="N33" s="5">
        <v>2021</v>
      </c>
      <c r="O33" s="5">
        <v>2022</v>
      </c>
      <c r="P33" s="5">
        <v>2023</v>
      </c>
      <c r="Q33" s="5">
        <f>+Q3</f>
        <v>2024</v>
      </c>
      <c r="R33" s="6"/>
      <c r="S33" s="28">
        <f>+S3</f>
        <v>2024</v>
      </c>
      <c r="T33" s="28">
        <f>+T3</f>
        <v>2025</v>
      </c>
      <c r="U33" s="6"/>
      <c r="V33" s="5" t="s">
        <v>3</v>
      </c>
      <c r="Y33" s="21"/>
    </row>
    <row r="34" spans="1:33" x14ac:dyDescent="0.35">
      <c r="A34" s="7" t="s">
        <v>27</v>
      </c>
      <c r="B34" s="8">
        <v>773</v>
      </c>
      <c r="C34" s="8">
        <v>874</v>
      </c>
      <c r="D34" s="8">
        <v>1383</v>
      </c>
      <c r="E34" s="8">
        <v>1263.8230000000001</v>
      </c>
      <c r="F34" s="8">
        <v>750.67</v>
      </c>
      <c r="G34" s="8">
        <v>1342.364</v>
      </c>
      <c r="H34" s="8">
        <v>1757.92</v>
      </c>
      <c r="I34" s="8">
        <v>586.58699999999999</v>
      </c>
      <c r="J34" s="8">
        <v>1450.162</v>
      </c>
      <c r="K34" s="8">
        <v>1460.5340000000001</v>
      </c>
      <c r="L34" s="8">
        <v>1476.056</v>
      </c>
      <c r="M34" s="8">
        <v>2390.89</v>
      </c>
      <c r="N34" s="8">
        <v>1603.9579999999999</v>
      </c>
      <c r="O34" s="8">
        <v>1028.1780000000001</v>
      </c>
      <c r="P34" s="8">
        <v>1342.0550000000001</v>
      </c>
      <c r="Q34" s="8">
        <f>+'[3]EERR CONS'!$D$13/1000</f>
        <v>680.82</v>
      </c>
      <c r="R34" s="8"/>
      <c r="S34" s="25">
        <v>2854.623</v>
      </c>
      <c r="T34" s="25">
        <f>+'[2]EERR CONS'!$D$13/1000</f>
        <v>848.28</v>
      </c>
      <c r="U34" s="8"/>
      <c r="V34" s="9">
        <f t="shared" ref="V34:V41" si="3">+((T34/S34)-1)*100</f>
        <v>-70.283991966715035</v>
      </c>
    </row>
    <row r="35" spans="1:33" x14ac:dyDescent="0.35">
      <c r="A35" s="7" t="s">
        <v>28</v>
      </c>
      <c r="B35" s="8">
        <v>4996</v>
      </c>
      <c r="C35" s="8">
        <v>6624</v>
      </c>
      <c r="D35" s="8">
        <v>5907</v>
      </c>
      <c r="E35" s="8">
        <v>6534.6270000000004</v>
      </c>
      <c r="F35" s="8">
        <v>5424.24</v>
      </c>
      <c r="G35" s="8">
        <v>6157.3810000000003</v>
      </c>
      <c r="H35" s="8">
        <v>6057.8879999999999</v>
      </c>
      <c r="I35" s="8">
        <v>4690.4179999999997</v>
      </c>
      <c r="J35" s="8">
        <v>6211.0529999999999</v>
      </c>
      <c r="K35" s="8">
        <v>5828.2060000000001</v>
      </c>
      <c r="L35" s="8">
        <v>6050.0209999999997</v>
      </c>
      <c r="M35" s="8">
        <v>7758.1220000000003</v>
      </c>
      <c r="N35" s="8">
        <v>7801.9089999999997</v>
      </c>
      <c r="O35" s="8">
        <v>6794.8429999999998</v>
      </c>
      <c r="P35" s="8">
        <v>7289.2809999999999</v>
      </c>
      <c r="Q35" s="8">
        <v>6446.4880000000003</v>
      </c>
      <c r="R35" s="8"/>
      <c r="S35" s="25">
        <v>7943.3760000000002</v>
      </c>
      <c r="T35" s="25">
        <f>+'[2]EERR CONS'!$D$25/1000</f>
        <v>6948.3519999999999</v>
      </c>
      <c r="U35" s="8"/>
      <c r="V35" s="9">
        <f t="shared" si="3"/>
        <v>-12.526462300160546</v>
      </c>
      <c r="Y35" s="52"/>
      <c r="Z35" s="52" t="s">
        <v>41</v>
      </c>
      <c r="AA35" s="52">
        <f>+SUMPRODUCT(Z37:AA37,Z38:AA38)/SUM(Z37:AA37)</f>
        <v>0.61698668598858797</v>
      </c>
      <c r="AB35" s="52"/>
      <c r="AC35" s="52" t="s">
        <v>41</v>
      </c>
      <c r="AD35" s="52">
        <f>+SUMPRODUCT(AC37:AD37,AC38:AD38)/SUM(AC37:AD37)</f>
        <v>0.64266576470183567</v>
      </c>
      <c r="AE35" s="19"/>
      <c r="AF35" s="19"/>
      <c r="AG35" s="19"/>
    </row>
    <row r="36" spans="1:33" x14ac:dyDescent="0.35">
      <c r="A36" s="7" t="s">
        <v>47</v>
      </c>
      <c r="B36" s="8">
        <v>18254</v>
      </c>
      <c r="C36" s="8">
        <v>20279</v>
      </c>
      <c r="D36" s="8">
        <v>20835</v>
      </c>
      <c r="E36" s="8">
        <v>31660.077000000001</v>
      </c>
      <c r="F36" s="8">
        <v>33355.163</v>
      </c>
      <c r="G36" s="8">
        <v>35256.565999999999</v>
      </c>
      <c r="H36" s="8">
        <v>33304.915000000001</v>
      </c>
      <c r="I36" s="8">
        <v>33421.129999999997</v>
      </c>
      <c r="J36" s="8">
        <v>36356.141000000003</v>
      </c>
      <c r="K36" s="8">
        <v>37090.805</v>
      </c>
      <c r="L36" s="8">
        <v>40344.610999999997</v>
      </c>
      <c r="M36" s="8">
        <v>42210.385999999999</v>
      </c>
      <c r="N36" s="8">
        <v>43057.434999999998</v>
      </c>
      <c r="O36" s="8">
        <v>44737.232000000004</v>
      </c>
      <c r="P36" s="8">
        <v>46876.248</v>
      </c>
      <c r="Q36" s="8">
        <f>+'[3]EERR CONS'!$D$46/1000</f>
        <v>49700.718000000001</v>
      </c>
      <c r="R36" s="8"/>
      <c r="S36" s="25">
        <v>48284.841999999997</v>
      </c>
      <c r="T36" s="25">
        <f>+'[2]EERR CONS'!$D$46/1000</f>
        <v>50803.983</v>
      </c>
      <c r="U36" s="8"/>
      <c r="V36" s="9">
        <f t="shared" si="3"/>
        <v>5.2172501672471006</v>
      </c>
      <c r="Y36" s="52"/>
      <c r="Z36" s="52" t="s">
        <v>42</v>
      </c>
      <c r="AA36" s="52" t="s">
        <v>43</v>
      </c>
      <c r="AB36" s="52"/>
      <c r="AC36" s="52" t="s">
        <v>42</v>
      </c>
      <c r="AD36" s="52" t="s">
        <v>43</v>
      </c>
      <c r="AE36" s="19"/>
      <c r="AF36" s="19"/>
      <c r="AG36" s="19"/>
    </row>
    <row r="37" spans="1:33" x14ac:dyDescent="0.35">
      <c r="A37" s="7" t="s">
        <v>29</v>
      </c>
      <c r="B37" s="8">
        <v>4097</v>
      </c>
      <c r="C37" s="8">
        <v>5244</v>
      </c>
      <c r="D37" s="8">
        <v>4416</v>
      </c>
      <c r="E37" s="8">
        <v>4138.9719999999998</v>
      </c>
      <c r="F37" s="8">
        <v>3778.7559999999999</v>
      </c>
      <c r="G37" s="8">
        <v>3575.835</v>
      </c>
      <c r="H37" s="8">
        <v>3722.1880000000001</v>
      </c>
      <c r="I37" s="8">
        <v>2462.453</v>
      </c>
      <c r="J37" s="8">
        <v>3315.4560000000001</v>
      </c>
      <c r="K37" s="8">
        <v>3539.4119999999998</v>
      </c>
      <c r="L37" s="20">
        <v>3922.9569999999999</v>
      </c>
      <c r="M37" s="20">
        <v>3439.9110000000001</v>
      </c>
      <c r="N37" s="8">
        <v>3938.877</v>
      </c>
      <c r="O37" s="8">
        <v>3920.4850000000001</v>
      </c>
      <c r="P37" s="8">
        <v>4383.9830000000002</v>
      </c>
      <c r="Q37" s="8">
        <v>4958.2219999999998</v>
      </c>
      <c r="R37" s="20"/>
      <c r="S37" s="25">
        <v>3727.6619999999998</v>
      </c>
      <c r="T37" s="25">
        <f>+'[2]EERR CONS'!$D$72/1000</f>
        <v>4632.8879999999999</v>
      </c>
      <c r="U37" s="20"/>
      <c r="V37" s="9">
        <f t="shared" si="3"/>
        <v>24.284015020675163</v>
      </c>
      <c r="Y37" s="52" t="s">
        <v>44</v>
      </c>
      <c r="Z37" s="52">
        <v>41070</v>
      </c>
      <c r="AA37" s="52">
        <v>25176</v>
      </c>
      <c r="AB37" s="52" t="s">
        <v>44</v>
      </c>
      <c r="AC37" s="52">
        <v>160690</v>
      </c>
      <c r="AD37" s="52">
        <v>100961</v>
      </c>
      <c r="AE37" s="19"/>
      <c r="AF37" s="19"/>
      <c r="AG37" s="19"/>
    </row>
    <row r="38" spans="1:33" ht="16.5" x14ac:dyDescent="0.35">
      <c r="A38" s="7" t="s">
        <v>30</v>
      </c>
      <c r="B38" s="20">
        <v>4667.9539999999997</v>
      </c>
      <c r="C38" s="20">
        <v>6346.4369999999999</v>
      </c>
      <c r="D38" s="20">
        <v>7049</v>
      </c>
      <c r="E38" s="20">
        <v>9049.0310000000009</v>
      </c>
      <c r="F38" s="20">
        <v>11012.421</v>
      </c>
      <c r="G38" s="20">
        <v>13752.532999999999</v>
      </c>
      <c r="H38" s="20">
        <v>14949.652</v>
      </c>
      <c r="I38" s="20">
        <v>15038.052000000001</v>
      </c>
      <c r="J38" s="20">
        <v>14812.500999999998</v>
      </c>
      <c r="K38" s="20">
        <v>15365.524000000001</v>
      </c>
      <c r="L38" s="20">
        <v>17697.226999999999</v>
      </c>
      <c r="M38" s="20">
        <v>18561.664000000001</v>
      </c>
      <c r="N38" s="8">
        <v>17593.627</v>
      </c>
      <c r="O38" s="8">
        <v>17370.245999999999</v>
      </c>
      <c r="P38" s="8">
        <v>20596.875</v>
      </c>
      <c r="Q38" s="8">
        <v>23093.937999999998</v>
      </c>
      <c r="R38" s="20"/>
      <c r="S38" s="25">
        <v>22348.715</v>
      </c>
      <c r="T38" s="25">
        <f>+'[2]EBITDA_ Gestión'!$E$41/1000</f>
        <v>23994.665000000001</v>
      </c>
      <c r="U38" s="20"/>
      <c r="V38" s="9">
        <f t="shared" si="3"/>
        <v>7.3648529680565566</v>
      </c>
      <c r="Y38" s="52" t="s">
        <v>45</v>
      </c>
      <c r="Z38" s="52">
        <v>0.75</v>
      </c>
      <c r="AA38" s="52">
        <v>0.4</v>
      </c>
      <c r="AB38" s="52" t="s">
        <v>45</v>
      </c>
      <c r="AC38" s="52">
        <v>0.77</v>
      </c>
      <c r="AD38" s="52">
        <v>0.44</v>
      </c>
      <c r="AE38" s="19"/>
      <c r="AF38" s="19"/>
      <c r="AG38" s="19"/>
    </row>
    <row r="39" spans="1:33" x14ac:dyDescent="0.35">
      <c r="A39" s="7" t="s">
        <v>31</v>
      </c>
      <c r="B39" s="8">
        <v>13811</v>
      </c>
      <c r="C39" s="8">
        <v>15748</v>
      </c>
      <c r="D39" s="8">
        <v>14770</v>
      </c>
      <c r="E39" s="8">
        <v>19481.064999999999</v>
      </c>
      <c r="F39" s="8">
        <v>20947.543000000001</v>
      </c>
      <c r="G39" s="8">
        <v>23733</v>
      </c>
      <c r="H39" s="8">
        <v>23572.094000000001</v>
      </c>
      <c r="I39" s="8">
        <v>23530.721000000001</v>
      </c>
      <c r="J39" s="8">
        <v>25430.803</v>
      </c>
      <c r="K39" s="8">
        <v>25746.936000000002</v>
      </c>
      <c r="L39" s="20">
        <v>28709.944</v>
      </c>
      <c r="M39" s="8">
        <v>30599.562999999998</v>
      </c>
      <c r="N39" s="8">
        <v>31482.534</v>
      </c>
      <c r="O39" s="8">
        <v>33082.667000000001</v>
      </c>
      <c r="P39" s="8">
        <v>35829.599000000002</v>
      </c>
      <c r="Q39" s="8">
        <f>+('[3]EERR CONS'!$D$86+'[3]EERR CONS'!$D$72)/1000</f>
        <v>38399.228999999999</v>
      </c>
      <c r="R39" s="8"/>
      <c r="S39" s="25">
        <v>37070.964999999997</v>
      </c>
      <c r="T39" s="25">
        <f>+('[2]EERR CONS'!$D$72+'[2]EERR CONS'!$D$86)/1000</f>
        <v>39523.4</v>
      </c>
      <c r="U39" s="8"/>
      <c r="V39" s="9">
        <f t="shared" si="3"/>
        <v>6.615514325025007</v>
      </c>
      <c r="Y39" s="52"/>
      <c r="Z39" s="52"/>
      <c r="AA39" s="52"/>
      <c r="AB39" s="52"/>
      <c r="AC39" s="52"/>
      <c r="AD39" s="52"/>
      <c r="AE39" s="19"/>
      <c r="AF39" s="19"/>
      <c r="AG39" s="19"/>
    </row>
    <row r="40" spans="1:33" x14ac:dyDescent="0.35">
      <c r="A40" s="7" t="s">
        <v>32</v>
      </c>
      <c r="B40" s="8">
        <v>4443</v>
      </c>
      <c r="C40" s="8">
        <v>4531</v>
      </c>
      <c r="D40" s="8">
        <v>6065</v>
      </c>
      <c r="E40" s="8">
        <v>12179.012000000001</v>
      </c>
      <c r="F40" s="8">
        <v>12407.62</v>
      </c>
      <c r="G40" s="8">
        <v>11525.512000000001</v>
      </c>
      <c r="H40" s="8">
        <v>9732.8209999999999</v>
      </c>
      <c r="I40" s="8">
        <v>9890.4089999999997</v>
      </c>
      <c r="J40" s="8">
        <v>10925.338</v>
      </c>
      <c r="K40" s="8">
        <v>11343.869000000001</v>
      </c>
      <c r="L40" s="8">
        <v>11634.666999999999</v>
      </c>
      <c r="M40" s="8">
        <v>11626</v>
      </c>
      <c r="N40" s="8">
        <v>11574.901</v>
      </c>
      <c r="O40" s="8">
        <v>11654.565000000001</v>
      </c>
      <c r="P40" s="8">
        <v>11046.648999999999</v>
      </c>
      <c r="Q40" s="8">
        <f>+'[3]EERR CONS'!$D$97/1000</f>
        <v>11301.489</v>
      </c>
      <c r="R40" s="8"/>
      <c r="S40" s="25">
        <v>11213.877</v>
      </c>
      <c r="T40" s="25">
        <f>+'[2]EERR CONS'!$D$97/1000</f>
        <v>11280.583000000001</v>
      </c>
      <c r="U40" s="8"/>
      <c r="V40" s="9">
        <f t="shared" si="3"/>
        <v>0.59485225315027979</v>
      </c>
      <c r="Y40" s="52"/>
      <c r="Z40" s="52"/>
      <c r="AA40" s="52"/>
      <c r="AB40" s="52"/>
      <c r="AC40" s="52"/>
      <c r="AD40" s="52"/>
    </row>
    <row r="41" spans="1:33" ht="16.5" x14ac:dyDescent="0.35">
      <c r="A41" s="7" t="s">
        <v>33</v>
      </c>
      <c r="B41" s="8">
        <v>3894.9539999999997</v>
      </c>
      <c r="C41" s="8">
        <v>5472.4369999999999</v>
      </c>
      <c r="D41" s="8">
        <v>5666</v>
      </c>
      <c r="E41" s="8">
        <v>7785.2080000000005</v>
      </c>
      <c r="F41" s="8">
        <v>10261.751</v>
      </c>
      <c r="G41" s="8">
        <v>12410.169</v>
      </c>
      <c r="H41" s="8">
        <v>13191.732</v>
      </c>
      <c r="I41" s="8">
        <v>14451.465000000002</v>
      </c>
      <c r="J41" s="8">
        <v>13362.338999999998</v>
      </c>
      <c r="K41" s="8">
        <v>13904.990000000002</v>
      </c>
      <c r="L41" s="8">
        <v>16221.170999999998</v>
      </c>
      <c r="M41" s="8">
        <v>16170.774000000001</v>
      </c>
      <c r="N41" s="8">
        <v>15989.669</v>
      </c>
      <c r="O41" s="8">
        <v>16342.067999999999</v>
      </c>
      <c r="P41" s="8">
        <v>19254.82</v>
      </c>
      <c r="Q41" s="8">
        <f>+Q38-Q34</f>
        <v>22413.117999999999</v>
      </c>
      <c r="R41" s="8">
        <v>0</v>
      </c>
      <c r="S41" s="8">
        <f t="shared" ref="S41:T41" si="4">+S38-S34</f>
        <v>19494.092000000001</v>
      </c>
      <c r="T41" s="8">
        <f t="shared" si="4"/>
        <v>23146.385000000002</v>
      </c>
      <c r="U41" s="8"/>
      <c r="V41" s="9">
        <f t="shared" si="3"/>
        <v>18.735384033275327</v>
      </c>
      <c r="Y41" s="52"/>
      <c r="Z41" s="52"/>
      <c r="AA41" s="52"/>
      <c r="AB41" s="52"/>
      <c r="AC41" s="52"/>
      <c r="AD41" s="52"/>
    </row>
    <row r="42" spans="1:33" ht="14.4" hidden="1" customHeight="1" x14ac:dyDescent="0.35">
      <c r="A42" s="7" t="s">
        <v>34</v>
      </c>
      <c r="B42" s="8"/>
      <c r="C42" s="8"/>
      <c r="D42" s="8">
        <v>1576</v>
      </c>
      <c r="E42" s="8">
        <v>1264</v>
      </c>
      <c r="F42" s="8">
        <v>1198</v>
      </c>
      <c r="G42" s="8">
        <v>989</v>
      </c>
      <c r="H42" s="8">
        <v>867</v>
      </c>
      <c r="I42" s="8">
        <v>942</v>
      </c>
      <c r="J42" s="8">
        <v>1062</v>
      </c>
      <c r="K42" s="8"/>
      <c r="L42" s="8"/>
      <c r="M42" s="8"/>
      <c r="N42" s="8"/>
      <c r="O42" s="8"/>
      <c r="P42" s="8"/>
      <c r="Q42" s="24"/>
      <c r="R42" s="8"/>
      <c r="S42" s="8"/>
      <c r="T42" s="8"/>
      <c r="U42" s="8"/>
      <c r="V42" s="9"/>
      <c r="Y42" s="52"/>
      <c r="Z42" s="52"/>
      <c r="AA42" s="52"/>
      <c r="AB42" s="52"/>
      <c r="AC42" s="52"/>
      <c r="AD42" s="52"/>
    </row>
    <row r="43" spans="1:33" ht="14.4" hidden="1" customHeight="1" x14ac:dyDescent="0.35">
      <c r="A43" s="7"/>
      <c r="B43" s="8"/>
      <c r="C43" s="8"/>
      <c r="D43" s="8">
        <v>7237</v>
      </c>
      <c r="E43" s="8">
        <v>4763</v>
      </c>
      <c r="F43" s="8">
        <v>4766</v>
      </c>
      <c r="G43" s="8">
        <v>4455.5240000000003</v>
      </c>
      <c r="H43" s="8">
        <v>2708.306</v>
      </c>
      <c r="I43" s="8">
        <v>1976.4780000000001</v>
      </c>
      <c r="J43" s="8">
        <v>4605.3140000000003</v>
      </c>
      <c r="K43" s="8"/>
      <c r="L43" s="8"/>
      <c r="M43" s="8"/>
      <c r="N43" s="8"/>
      <c r="O43" s="8"/>
      <c r="P43" s="8"/>
      <c r="Q43" s="24"/>
      <c r="R43" s="8"/>
      <c r="S43" s="8"/>
      <c r="T43" s="8"/>
      <c r="U43" s="8"/>
      <c r="V43" s="9"/>
      <c r="Y43" s="52"/>
      <c r="Z43" s="52"/>
      <c r="AA43" s="52"/>
      <c r="AB43" s="52"/>
      <c r="AC43" s="52"/>
      <c r="AD43" s="52"/>
    </row>
    <row r="44" spans="1:33" ht="16.5" x14ac:dyDescent="0.35">
      <c r="A44" s="7" t="s">
        <v>39</v>
      </c>
      <c r="J44" s="34"/>
      <c r="K44" s="34"/>
      <c r="L44" s="34"/>
      <c r="M44" s="34"/>
      <c r="N44" s="34"/>
      <c r="O44" s="34"/>
      <c r="P44" s="34"/>
      <c r="Q44" s="34"/>
      <c r="S44" s="34"/>
      <c r="T44" s="34"/>
      <c r="V44" s="21"/>
      <c r="W44" s="36"/>
      <c r="Y44" s="52"/>
      <c r="Z44" s="52"/>
      <c r="AA44" s="52"/>
      <c r="AB44" s="52"/>
      <c r="AC44" s="52">
        <v>338</v>
      </c>
      <c r="AD44" s="52"/>
    </row>
    <row r="45" spans="1:33" ht="16.5" x14ac:dyDescent="0.35">
      <c r="A45" s="7" t="s">
        <v>35</v>
      </c>
      <c r="Q45" s="21"/>
      <c r="S45" s="34"/>
      <c r="T45" s="34"/>
      <c r="Y45" s="52"/>
      <c r="Z45" s="52"/>
      <c r="AA45" s="52"/>
      <c r="AB45" s="52"/>
      <c r="AC45" s="52">
        <f>+(AC44/15574)*15802</f>
        <v>342.94824707846414</v>
      </c>
      <c r="AD45" s="52"/>
    </row>
    <row r="46" spans="1:33" ht="16.5" x14ac:dyDescent="0.35">
      <c r="A46" s="7" t="s">
        <v>40</v>
      </c>
      <c r="Q46" s="21"/>
      <c r="Y46" s="52"/>
      <c r="Z46" s="52"/>
      <c r="AA46" s="52"/>
      <c r="AB46" s="52"/>
      <c r="AC46" s="53">
        <f>372/AC45-1</f>
        <v>8.471176968835481E-2</v>
      </c>
      <c r="AD46" s="52"/>
    </row>
    <row r="47" spans="1:33" ht="16.5" x14ac:dyDescent="0.35">
      <c r="A47" s="7" t="s">
        <v>36</v>
      </c>
      <c r="Q47" s="21"/>
      <c r="S47" s="49"/>
      <c r="T47" s="49"/>
    </row>
    <row r="48" spans="1:33" ht="16.5" x14ac:dyDescent="0.35">
      <c r="A48" s="7" t="s">
        <v>37</v>
      </c>
      <c r="S48" s="49"/>
      <c r="T48" s="50"/>
    </row>
    <row r="49" spans="1:21" ht="16.5" x14ac:dyDescent="0.35">
      <c r="A49" s="7" t="s">
        <v>38</v>
      </c>
      <c r="S49" s="49"/>
    </row>
    <row r="50" spans="1:21" x14ac:dyDescent="0.35">
      <c r="A50" s="7"/>
      <c r="R50" s="22"/>
      <c r="U50" s="22"/>
    </row>
    <row r="51" spans="1:21" x14ac:dyDescent="0.35">
      <c r="A51" s="7"/>
      <c r="R51" s="23"/>
      <c r="U51" s="23"/>
    </row>
    <row r="52" spans="1:21" x14ac:dyDescent="0.35">
      <c r="A52" s="7"/>
    </row>
    <row r="53" spans="1:21" x14ac:dyDescent="0.35">
      <c r="A53" s="7"/>
    </row>
    <row r="54" spans="1:21" x14ac:dyDescent="0.35">
      <c r="A54" s="7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1" x14ac:dyDescent="0.35">
      <c r="T55" s="51"/>
    </row>
    <row r="56" spans="1:21" x14ac:dyDescent="0.35">
      <c r="T56" s="51"/>
    </row>
  </sheetData>
  <mergeCells count="12">
    <mergeCell ref="S2:T2"/>
    <mergeCell ref="S11:T11"/>
    <mergeCell ref="S17:T17"/>
    <mergeCell ref="S32:T32"/>
    <mergeCell ref="A17:A18"/>
    <mergeCell ref="A32:A33"/>
    <mergeCell ref="A2:A3"/>
    <mergeCell ref="A11:A12"/>
    <mergeCell ref="B2:Q2"/>
    <mergeCell ref="B11:Q11"/>
    <mergeCell ref="B17:Q17"/>
    <mergeCell ref="B32:Q32"/>
  </mergeCells>
  <pageMargins left="0.7" right="0.7" top="0.75" bottom="0.75" header="0.3" footer="0.3"/>
  <pageSetup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ADA4-12BE-4DDD-848F-2AC8567C29ED}">
  <dimension ref="B2:E20"/>
  <sheetViews>
    <sheetView workbookViewId="0">
      <selection activeCell="C15" sqref="C15"/>
    </sheetView>
  </sheetViews>
  <sheetFormatPr baseColWidth="10" defaultRowHeight="14.5" x14ac:dyDescent="0.35"/>
  <cols>
    <col min="1" max="1" width="10.90625" style="37"/>
    <col min="2" max="2" width="36.90625" style="37" customWidth="1"/>
    <col min="3" max="3" width="7.81640625" style="37" customWidth="1"/>
    <col min="4" max="4" width="7.7265625" style="37" customWidth="1"/>
    <col min="5" max="5" width="7.90625" style="37" customWidth="1"/>
    <col min="6" max="16384" width="10.90625" style="37"/>
  </cols>
  <sheetData>
    <row r="2" spans="2:5" x14ac:dyDescent="0.35">
      <c r="B2" s="57" t="s">
        <v>49</v>
      </c>
      <c r="C2" s="58" t="s">
        <v>48</v>
      </c>
      <c r="D2" s="58"/>
      <c r="E2" s="38" t="s">
        <v>50</v>
      </c>
    </row>
    <row r="3" spans="2:5" x14ac:dyDescent="0.35">
      <c r="B3" s="57"/>
      <c r="C3" s="38">
        <v>2024</v>
      </c>
      <c r="D3" s="38">
        <v>2025</v>
      </c>
      <c r="E3" s="38" t="s">
        <v>51</v>
      </c>
    </row>
    <row r="4" spans="2:5" x14ac:dyDescent="0.35">
      <c r="B4" s="39" t="s">
        <v>52</v>
      </c>
      <c r="C4" s="40">
        <f>+ESPAÑOL!S4</f>
        <v>318.80200000000002</v>
      </c>
      <c r="D4" s="40">
        <f>+ESPAÑOL!T4</f>
        <v>323.91399999999999</v>
      </c>
      <c r="E4" s="41">
        <f>+(D4/C4)-1</f>
        <v>1.6035031147859646E-2</v>
      </c>
    </row>
    <row r="5" spans="2:5" x14ac:dyDescent="0.35">
      <c r="B5" s="39" t="s">
        <v>53</v>
      </c>
      <c r="C5" s="42">
        <f>+ESPAÑOL!S6</f>
        <v>193.5</v>
      </c>
      <c r="D5" s="42">
        <f>+ESPAÑOL!T6</f>
        <v>209.8</v>
      </c>
      <c r="E5" s="41">
        <f t="shared" ref="E5:E15" si="0">+(D5/C5)-1</f>
        <v>8.4237726098191246E-2</v>
      </c>
    </row>
    <row r="6" spans="2:5" x14ac:dyDescent="0.35">
      <c r="B6" s="39" t="s">
        <v>54</v>
      </c>
      <c r="C6" s="43">
        <f>+ESPAÑOL!S13</f>
        <v>382.755</v>
      </c>
      <c r="D6" s="43">
        <f>+ESPAÑOL!T13</f>
        <v>423.673</v>
      </c>
      <c r="E6" s="41">
        <f t="shared" si="0"/>
        <v>0.10690389413593548</v>
      </c>
    </row>
    <row r="7" spans="2:5" x14ac:dyDescent="0.35">
      <c r="B7" s="39" t="s">
        <v>55</v>
      </c>
      <c r="C7" s="43">
        <v>384.2</v>
      </c>
      <c r="D7" s="43">
        <v>471.3</v>
      </c>
      <c r="E7" s="41">
        <f t="shared" si="0"/>
        <v>0.22670484122852685</v>
      </c>
    </row>
    <row r="8" spans="2:5" x14ac:dyDescent="0.35">
      <c r="B8" s="39" t="s">
        <v>56</v>
      </c>
      <c r="C8" s="44">
        <f>+ESPAÑOL!S15</f>
        <v>945.50199999999995</v>
      </c>
      <c r="D8" s="44">
        <f>+ESPAÑOL!T15</f>
        <v>964.01253968253957</v>
      </c>
      <c r="E8" s="41">
        <f t="shared" si="0"/>
        <v>1.957747279491695E-2</v>
      </c>
    </row>
    <row r="9" spans="2:5" x14ac:dyDescent="0.35">
      <c r="B9" s="39" t="s">
        <v>57</v>
      </c>
      <c r="C9" s="40">
        <f>+ESPAÑOL!S19</f>
        <v>3690.3009999999999</v>
      </c>
      <c r="D9" s="40">
        <f>+ESPAÑOL!T19</f>
        <v>4227.8310000000001</v>
      </c>
      <c r="E9" s="41">
        <f t="shared" si="0"/>
        <v>0.14566020495347143</v>
      </c>
    </row>
    <row r="10" spans="2:5" x14ac:dyDescent="0.35">
      <c r="B10" s="39" t="s">
        <v>58</v>
      </c>
      <c r="C10" s="40">
        <f>+ESPAÑOL!S20</f>
        <v>848.69899999999996</v>
      </c>
      <c r="D10" s="40">
        <f>+ESPAÑOL!T20</f>
        <v>1159.5450000000001</v>
      </c>
      <c r="E10" s="41">
        <f t="shared" si="0"/>
        <v>0.36626177243050839</v>
      </c>
    </row>
    <row r="11" spans="2:5" x14ac:dyDescent="0.35">
      <c r="B11" s="39" t="s">
        <v>59</v>
      </c>
      <c r="C11" s="40">
        <f>+ESPAÑOL!S30</f>
        <v>341</v>
      </c>
      <c r="D11" s="40">
        <f>+ESPAÑOL!T30</f>
        <v>222</v>
      </c>
      <c r="E11" s="41">
        <f t="shared" si="0"/>
        <v>-0.34897360703812319</v>
      </c>
    </row>
    <row r="12" spans="2:5" x14ac:dyDescent="0.35">
      <c r="B12" s="39" t="s">
        <v>60</v>
      </c>
      <c r="C12" s="40">
        <f>+ESPAÑOL!S24</f>
        <v>1528.6790000000001</v>
      </c>
      <c r="D12" s="40">
        <f>+ESPAÑOL!T24</f>
        <v>1348.1606195099998</v>
      </c>
      <c r="E12" s="41">
        <f t="shared" si="0"/>
        <v>-0.11808782647632388</v>
      </c>
    </row>
    <row r="13" spans="2:5" x14ac:dyDescent="0.35">
      <c r="B13" s="39" t="s">
        <v>61</v>
      </c>
      <c r="C13" s="43">
        <f>+ESPAÑOL!S25</f>
        <v>41.424236125996231</v>
      </c>
      <c r="D13" s="43">
        <f>+ESPAÑOL!T25</f>
        <v>31.887760402674559</v>
      </c>
      <c r="E13" s="41">
        <f t="shared" si="0"/>
        <v>-0.23021488421211833</v>
      </c>
    </row>
    <row r="14" spans="2:5" x14ac:dyDescent="0.35">
      <c r="B14" s="39" t="s">
        <v>62</v>
      </c>
      <c r="C14" s="40">
        <f>+ESPAÑOL!S41</f>
        <v>19494.092000000001</v>
      </c>
      <c r="D14" s="40">
        <f>+ESPAÑOL!T41</f>
        <v>23146.385000000002</v>
      </c>
      <c r="E14" s="41">
        <f t="shared" si="0"/>
        <v>0.18735384033275326</v>
      </c>
    </row>
    <row r="15" spans="2:5" x14ac:dyDescent="0.35">
      <c r="B15" s="39" t="s">
        <v>63</v>
      </c>
      <c r="C15" s="45">
        <f>+ESPAÑOL!S28</f>
        <v>4.2660819852440746</v>
      </c>
      <c r="D15" s="45">
        <f>+ESPAÑOL!T28</f>
        <v>4.4017056324013399</v>
      </c>
      <c r="E15" s="41">
        <f t="shared" si="0"/>
        <v>3.179114879328937E-2</v>
      </c>
    </row>
    <row r="16" spans="2:5" x14ac:dyDescent="0.35">
      <c r="B16" s="46" t="s">
        <v>64</v>
      </c>
      <c r="C16" s="47"/>
      <c r="D16" s="47"/>
      <c r="E16" s="47"/>
    </row>
    <row r="17" spans="2:5" x14ac:dyDescent="0.35">
      <c r="B17" s="46" t="s">
        <v>65</v>
      </c>
      <c r="C17" s="47"/>
      <c r="D17" s="47"/>
      <c r="E17" s="47"/>
    </row>
    <row r="18" spans="2:5" x14ac:dyDescent="0.35">
      <c r="B18" s="46" t="s">
        <v>66</v>
      </c>
      <c r="C18" s="47"/>
      <c r="D18" s="47"/>
      <c r="E18" s="47"/>
    </row>
    <row r="19" spans="2:5" x14ac:dyDescent="0.35">
      <c r="B19" s="46" t="s">
        <v>67</v>
      </c>
      <c r="C19" s="47"/>
      <c r="D19" s="47"/>
      <c r="E19" s="47"/>
    </row>
    <row r="20" spans="2:5" x14ac:dyDescent="0.35">
      <c r="B20" s="48" t="s">
        <v>68</v>
      </c>
      <c r="C20" s="47"/>
      <c r="D20" s="47"/>
      <c r="E20" s="47"/>
    </row>
  </sheetData>
  <mergeCells count="2">
    <mergeCell ref="B2:B3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B54A-6DF7-4217-95CC-7667B0A13DC2}">
  <sheetPr>
    <pageSetUpPr fitToPage="1"/>
  </sheetPr>
  <dimension ref="A1:AA54"/>
  <sheetViews>
    <sheetView showGridLines="0" zoomScale="70" zoomScaleNormal="7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E36" sqref="AE36"/>
    </sheetView>
  </sheetViews>
  <sheetFormatPr baseColWidth="10" defaultColWidth="11.453125" defaultRowHeight="14.5" x14ac:dyDescent="0.35"/>
  <cols>
    <col min="1" max="1" width="44.453125" customWidth="1"/>
    <col min="2" max="17" width="9.6328125" customWidth="1"/>
    <col min="18" max="18" width="0.54296875" customWidth="1"/>
  </cols>
  <sheetData>
    <row r="1" spans="1:19" x14ac:dyDescent="0.35">
      <c r="A1" s="1" t="s">
        <v>0</v>
      </c>
    </row>
    <row r="2" spans="1:19" ht="15" thickBot="1" x14ac:dyDescent="0.4">
      <c r="A2" s="55" t="s">
        <v>1</v>
      </c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2"/>
      <c r="S2" s="4"/>
    </row>
    <row r="3" spans="1:19" x14ac:dyDescent="0.35">
      <c r="A3" s="56"/>
      <c r="B3" s="5">
        <v>2009</v>
      </c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  <c r="L3" s="5">
        <v>2019</v>
      </c>
      <c r="M3" s="5">
        <v>2020</v>
      </c>
      <c r="N3" s="5">
        <v>2021</v>
      </c>
      <c r="O3" s="5">
        <v>2022</v>
      </c>
      <c r="P3" s="5">
        <v>2023</v>
      </c>
      <c r="Q3" s="5">
        <v>2024</v>
      </c>
      <c r="R3" s="6"/>
      <c r="S3" s="5" t="s">
        <v>3</v>
      </c>
    </row>
    <row r="4" spans="1:19" ht="16.25" customHeight="1" x14ac:dyDescent="0.35">
      <c r="A4" s="7" t="s">
        <v>4</v>
      </c>
      <c r="B4" s="8">
        <v>1782</v>
      </c>
      <c r="C4" s="8">
        <v>1760</v>
      </c>
      <c r="D4" s="8">
        <v>1796</v>
      </c>
      <c r="E4" s="8">
        <v>1758</v>
      </c>
      <c r="F4" s="8">
        <v>1792</v>
      </c>
      <c r="G4" s="8">
        <v>1841</v>
      </c>
      <c r="H4" s="8">
        <v>1891</v>
      </c>
      <c r="I4" s="8">
        <v>1827</v>
      </c>
      <c r="J4" s="8">
        <v>1842</v>
      </c>
      <c r="K4" s="8">
        <v>1806.3630000000001</v>
      </c>
      <c r="L4" s="8">
        <v>1706.2</v>
      </c>
      <c r="M4" s="8">
        <v>1727.3</v>
      </c>
      <c r="N4" s="8">
        <v>1728</v>
      </c>
      <c r="O4" s="8">
        <v>1445.6</v>
      </c>
      <c r="P4" s="8">
        <v>1424.231</v>
      </c>
      <c r="Q4" s="8">
        <v>1441.8904399999999</v>
      </c>
      <c r="R4" s="8"/>
      <c r="S4" s="9">
        <f>+((Q4/P4)-1)*100</f>
        <v>1.2399280734656015</v>
      </c>
    </row>
    <row r="5" spans="1:19" ht="14.4" customHeight="1" x14ac:dyDescent="0.35">
      <c r="A5" s="7" t="s">
        <v>5</v>
      </c>
      <c r="B5" s="10">
        <v>21.556000000000001</v>
      </c>
      <c r="C5" s="10">
        <v>21.677</v>
      </c>
      <c r="D5" s="10">
        <v>23.097999999999999</v>
      </c>
      <c r="E5" s="10">
        <v>19.675999999999998</v>
      </c>
      <c r="F5" s="10">
        <v>23.042999999999999</v>
      </c>
      <c r="G5" s="10">
        <v>30.628</v>
      </c>
      <c r="H5" s="10">
        <v>27.684000000000001</v>
      </c>
      <c r="I5" s="10">
        <v>30.640999999999998</v>
      </c>
      <c r="J5" s="10">
        <v>28.673999999999999</v>
      </c>
      <c r="K5" s="10">
        <v>24.030999999999999</v>
      </c>
      <c r="L5" s="10">
        <v>22.4</v>
      </c>
      <c r="M5" s="10">
        <v>27.9</v>
      </c>
      <c r="N5" s="10">
        <v>21</v>
      </c>
      <c r="O5" s="10">
        <v>20.13</v>
      </c>
      <c r="P5" s="10">
        <v>16.3</v>
      </c>
      <c r="Q5" s="10">
        <v>15.308</v>
      </c>
      <c r="R5" s="8"/>
      <c r="S5" s="9">
        <f t="shared" ref="S5:S9" si="0">+((Q5/P5)-1)*100</f>
        <v>-6.0858895705521494</v>
      </c>
    </row>
    <row r="6" spans="1:19" ht="14.4" customHeight="1" x14ac:dyDescent="0.35">
      <c r="A6" s="7" t="s">
        <v>6</v>
      </c>
      <c r="B6" s="11">
        <v>92.9</v>
      </c>
      <c r="C6" s="11">
        <v>104.4</v>
      </c>
      <c r="D6" s="11">
        <v>116.4</v>
      </c>
      <c r="E6" s="11">
        <v>163.5</v>
      </c>
      <c r="F6" s="11">
        <v>163.1</v>
      </c>
      <c r="G6" s="11">
        <v>150.37</v>
      </c>
      <c r="H6" s="11">
        <v>138.69999999999999</v>
      </c>
      <c r="I6" s="11">
        <v>126.1</v>
      </c>
      <c r="J6" s="11">
        <v>135.9</v>
      </c>
      <c r="K6" s="11">
        <v>139.1</v>
      </c>
      <c r="L6" s="11">
        <v>141.6</v>
      </c>
      <c r="M6" s="11">
        <v>129.4</v>
      </c>
      <c r="N6" s="11">
        <v>132.69999999999999</v>
      </c>
      <c r="O6" s="11">
        <v>165.4</v>
      </c>
      <c r="P6" s="11">
        <v>203.1</v>
      </c>
      <c r="Q6" s="11">
        <v>199.1</v>
      </c>
      <c r="R6" s="12"/>
      <c r="S6" s="9">
        <f t="shared" si="0"/>
        <v>-1.9694731659281151</v>
      </c>
    </row>
    <row r="7" spans="1:19" ht="14.4" customHeight="1" x14ac:dyDescent="0.35">
      <c r="A7" s="7" t="s">
        <v>7</v>
      </c>
      <c r="B7" s="8">
        <v>1937</v>
      </c>
      <c r="C7" s="8">
        <v>1898</v>
      </c>
      <c r="D7" s="8">
        <v>1855</v>
      </c>
      <c r="E7" s="8">
        <v>1740</v>
      </c>
      <c r="F7" s="8">
        <v>1723</v>
      </c>
      <c r="G7" s="8">
        <v>1687.7059999999999</v>
      </c>
      <c r="H7" s="8">
        <v>1773.683</v>
      </c>
      <c r="I7" s="8">
        <v>1860.4649999999999</v>
      </c>
      <c r="J7" s="8">
        <v>1846</v>
      </c>
      <c r="K7" s="8">
        <v>1838.15</v>
      </c>
      <c r="L7" s="8">
        <v>1804</v>
      </c>
      <c r="M7" s="8">
        <v>1858.9</v>
      </c>
      <c r="N7" s="8">
        <v>1846.16</v>
      </c>
      <c r="O7" s="8">
        <v>1664.3409999999999</v>
      </c>
      <c r="P7" s="8">
        <v>1562.6289999999999</v>
      </c>
      <c r="Q7" s="8">
        <v>1570.152</v>
      </c>
      <c r="R7" s="8"/>
      <c r="S7" s="9">
        <f t="shared" si="0"/>
        <v>0.48143225295320669</v>
      </c>
    </row>
    <row r="8" spans="1:19" ht="14.4" customHeight="1" x14ac:dyDescent="0.35">
      <c r="A8" s="7" t="s">
        <v>8</v>
      </c>
      <c r="B8" s="10">
        <v>21</v>
      </c>
      <c r="C8" s="10">
        <v>21</v>
      </c>
      <c r="D8" s="10">
        <v>23</v>
      </c>
      <c r="E8" s="10">
        <v>19</v>
      </c>
      <c r="F8" s="10">
        <v>22</v>
      </c>
      <c r="G8" s="10">
        <v>26.67</v>
      </c>
      <c r="H8" s="10">
        <v>26.029</v>
      </c>
      <c r="I8" s="10">
        <v>29.823</v>
      </c>
      <c r="J8" s="10">
        <v>28.917999999999999</v>
      </c>
      <c r="K8" s="10">
        <v>25.253</v>
      </c>
      <c r="L8" s="10">
        <v>23.512</v>
      </c>
      <c r="M8" s="10">
        <v>28.35</v>
      </c>
      <c r="N8" s="10">
        <v>21.263999999999999</v>
      </c>
      <c r="O8" s="10">
        <v>20.888999999999999</v>
      </c>
      <c r="P8" s="10">
        <v>16.963999999999999</v>
      </c>
      <c r="Q8" s="10">
        <v>16.029</v>
      </c>
      <c r="R8" s="8"/>
      <c r="S8" s="9">
        <f t="shared" si="0"/>
        <v>-5.5116717755246292</v>
      </c>
    </row>
    <row r="9" spans="1:19" ht="14.4" customHeight="1" x14ac:dyDescent="0.35">
      <c r="A9" s="7" t="s">
        <v>9</v>
      </c>
      <c r="B9" s="13">
        <v>0.83</v>
      </c>
      <c r="C9" s="13">
        <v>0.85</v>
      </c>
      <c r="D9" s="13">
        <v>0.84</v>
      </c>
      <c r="E9" s="13">
        <v>0.76</v>
      </c>
      <c r="F9" s="13">
        <v>0.79</v>
      </c>
      <c r="G9" s="13">
        <v>0.79</v>
      </c>
      <c r="H9" s="13">
        <v>0.77</v>
      </c>
      <c r="I9" s="13">
        <v>0.71</v>
      </c>
      <c r="J9" s="13">
        <v>0.71</v>
      </c>
      <c r="K9" s="13">
        <v>0.67</v>
      </c>
      <c r="L9" s="13">
        <v>0.67571785037001131</v>
      </c>
      <c r="M9" s="13">
        <v>0.68946351327589228</v>
      </c>
      <c r="N9" s="13">
        <v>0.69547692054720089</v>
      </c>
      <c r="O9" s="13">
        <v>0.69547692054720089</v>
      </c>
      <c r="P9" s="13">
        <v>0.64</v>
      </c>
      <c r="Q9" s="13">
        <f>+AA35</f>
        <v>0.64266576470183567</v>
      </c>
      <c r="R9" s="8">
        <f>[1]INGLES!Q9</f>
        <v>0</v>
      </c>
      <c r="S9" s="9">
        <f t="shared" si="0"/>
        <v>0.41652573466182119</v>
      </c>
    </row>
    <row r="10" spans="1:19" x14ac:dyDescent="0.35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9"/>
    </row>
    <row r="11" spans="1:19" ht="15" thickBot="1" x14ac:dyDescent="0.4">
      <c r="A11" s="55" t="s">
        <v>10</v>
      </c>
      <c r="B11" s="54" t="str">
        <f>+B2</f>
        <v>31 diciembre,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"/>
      <c r="S11" s="3"/>
    </row>
    <row r="12" spans="1:19" x14ac:dyDescent="0.35">
      <c r="A12" s="56"/>
      <c r="B12" s="5">
        <v>2009</v>
      </c>
      <c r="C12" s="5">
        <v>2010</v>
      </c>
      <c r="D12" s="5">
        <v>2011</v>
      </c>
      <c r="E12" s="5">
        <v>2012</v>
      </c>
      <c r="F12" s="5">
        <v>2013</v>
      </c>
      <c r="G12" s="5">
        <v>2014</v>
      </c>
      <c r="H12" s="5">
        <v>2015</v>
      </c>
      <c r="I12" s="5">
        <v>2016</v>
      </c>
      <c r="J12" s="5">
        <v>2017</v>
      </c>
      <c r="K12" s="5">
        <v>2018</v>
      </c>
      <c r="L12" s="5">
        <v>2019</v>
      </c>
      <c r="M12" s="5">
        <v>2020</v>
      </c>
      <c r="N12" s="5">
        <v>2021</v>
      </c>
      <c r="O12" s="5">
        <v>2022</v>
      </c>
      <c r="P12" s="5">
        <v>2023</v>
      </c>
      <c r="Q12" s="5">
        <f>+Q3</f>
        <v>2024</v>
      </c>
      <c r="R12" s="6"/>
      <c r="S12" s="5" t="s">
        <v>3</v>
      </c>
    </row>
    <row r="13" spans="1:19" ht="14.4" customHeight="1" x14ac:dyDescent="0.35">
      <c r="A13" s="7" t="s">
        <v>11</v>
      </c>
      <c r="B13" s="11">
        <v>234.2</v>
      </c>
      <c r="C13" s="12">
        <v>342</v>
      </c>
      <c r="D13" s="11">
        <v>399.7</v>
      </c>
      <c r="E13" s="11">
        <v>360.6</v>
      </c>
      <c r="F13" s="11">
        <v>332.1</v>
      </c>
      <c r="G13" s="11">
        <v>311.3</v>
      </c>
      <c r="H13" s="11">
        <v>249.2</v>
      </c>
      <c r="I13" s="11">
        <v>220.6</v>
      </c>
      <c r="J13" s="11">
        <v>279.7</v>
      </c>
      <c r="K13" s="12">
        <v>295.88</v>
      </c>
      <c r="L13" s="12">
        <v>272.39999999999998</v>
      </c>
      <c r="M13" s="12">
        <v>279.8</v>
      </c>
      <c r="N13" s="12">
        <v>422.63400000000001</v>
      </c>
      <c r="O13" s="12">
        <v>399.02600000000001</v>
      </c>
      <c r="P13" s="12">
        <v>384.54500000000002</v>
      </c>
      <c r="Q13" s="12">
        <v>414.89100000000002</v>
      </c>
      <c r="R13" s="12"/>
      <c r="S13" s="9">
        <f t="shared" ref="S13:S15" si="1">+((Q13/P13)-1)*100</f>
        <v>7.8914041269552371</v>
      </c>
    </row>
    <row r="14" spans="1:19" ht="14.4" customHeight="1" x14ac:dyDescent="0.35">
      <c r="A14" s="7" t="s">
        <v>12</v>
      </c>
      <c r="B14" s="11">
        <v>11.1</v>
      </c>
      <c r="C14" s="11">
        <v>15.8</v>
      </c>
      <c r="D14" s="11">
        <v>15.5</v>
      </c>
      <c r="E14" s="11">
        <v>12.4</v>
      </c>
      <c r="F14" s="11">
        <v>10.3</v>
      </c>
      <c r="G14" s="11">
        <v>11.3</v>
      </c>
      <c r="H14" s="11">
        <v>6.6</v>
      </c>
      <c r="I14" s="11">
        <v>6.4</v>
      </c>
      <c r="J14" s="11">
        <v>8.1</v>
      </c>
      <c r="K14" s="12">
        <v>11.94</v>
      </c>
      <c r="L14" s="12">
        <v>11.35</v>
      </c>
      <c r="M14" s="12">
        <v>8.6910000000000007</v>
      </c>
      <c r="N14" s="12">
        <v>15.85</v>
      </c>
      <c r="O14" s="12">
        <v>18.8</v>
      </c>
      <c r="P14" s="12">
        <v>24.140999999999998</v>
      </c>
      <c r="Q14" s="12">
        <v>21.297999999999998</v>
      </c>
      <c r="R14" s="12"/>
      <c r="S14" s="9">
        <f t="shared" si="1"/>
        <v>-11.776645540781249</v>
      </c>
    </row>
    <row r="15" spans="1:19" ht="14.4" customHeight="1" x14ac:dyDescent="0.35">
      <c r="A15" s="7" t="s">
        <v>13</v>
      </c>
      <c r="B15" s="11">
        <v>560</v>
      </c>
      <c r="C15" s="11">
        <v>510</v>
      </c>
      <c r="D15" s="11">
        <v>484</v>
      </c>
      <c r="E15" s="11">
        <v>487</v>
      </c>
      <c r="F15" s="11">
        <v>495</v>
      </c>
      <c r="G15" s="11">
        <v>570</v>
      </c>
      <c r="H15" s="11">
        <v>654</v>
      </c>
      <c r="I15" s="11">
        <v>677</v>
      </c>
      <c r="J15" s="11">
        <v>649</v>
      </c>
      <c r="K15" s="11">
        <v>640</v>
      </c>
      <c r="L15" s="14">
        <v>702.63</v>
      </c>
      <c r="M15" s="14">
        <v>792.22</v>
      </c>
      <c r="N15" s="14">
        <v>759.27</v>
      </c>
      <c r="O15" s="14">
        <v>872.33</v>
      </c>
      <c r="P15" s="14">
        <v>839.07</v>
      </c>
      <c r="Q15" s="14">
        <v>943.58241935483863</v>
      </c>
      <c r="R15" s="14"/>
      <c r="S15" s="9">
        <f t="shared" si="1"/>
        <v>12.455744974178383</v>
      </c>
    </row>
    <row r="16" spans="1:19" x14ac:dyDescent="0.35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9"/>
    </row>
    <row r="17" spans="1:19" ht="15" thickBot="1" x14ac:dyDescent="0.4">
      <c r="A17" s="55" t="s">
        <v>14</v>
      </c>
      <c r="B17" s="54" t="str">
        <f>+B2</f>
        <v>31 diciembre,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2"/>
      <c r="S17" s="3"/>
    </row>
    <row r="18" spans="1:19" x14ac:dyDescent="0.35">
      <c r="A18" s="56"/>
      <c r="B18" s="5">
        <v>2009</v>
      </c>
      <c r="C18" s="5">
        <v>2010</v>
      </c>
      <c r="D18" s="5">
        <v>2011</v>
      </c>
      <c r="E18" s="5">
        <v>2012</v>
      </c>
      <c r="F18" s="5">
        <v>2013</v>
      </c>
      <c r="G18" s="5">
        <v>2014</v>
      </c>
      <c r="H18" s="5">
        <v>2015</v>
      </c>
      <c r="I18" s="5">
        <v>2016</v>
      </c>
      <c r="J18" s="5">
        <v>2017</v>
      </c>
      <c r="K18" s="5">
        <v>2018</v>
      </c>
      <c r="L18" s="5">
        <v>2019</v>
      </c>
      <c r="M18" s="5">
        <v>2020</v>
      </c>
      <c r="N18" s="5">
        <v>2021</v>
      </c>
      <c r="O18" s="5">
        <v>2022</v>
      </c>
      <c r="P18" s="5">
        <v>2023</v>
      </c>
      <c r="Q18" s="5">
        <f>+Q3</f>
        <v>2024</v>
      </c>
      <c r="R18" s="6"/>
      <c r="S18" s="5" t="s">
        <v>3</v>
      </c>
    </row>
    <row r="19" spans="1:19" ht="14.4" customHeight="1" x14ac:dyDescent="0.35">
      <c r="A19" s="7" t="s">
        <v>15</v>
      </c>
      <c r="B19" s="8">
        <v>12379</v>
      </c>
      <c r="C19" s="8">
        <v>16066</v>
      </c>
      <c r="D19" s="8">
        <v>17515</v>
      </c>
      <c r="E19" s="8">
        <v>15860</v>
      </c>
      <c r="F19" s="8">
        <v>14956</v>
      </c>
      <c r="G19" s="8">
        <v>13827</v>
      </c>
      <c r="H19" s="8">
        <v>11693.492</v>
      </c>
      <c r="I19" s="8">
        <v>11536.751</v>
      </c>
      <c r="J19" s="8">
        <v>14641.555</v>
      </c>
      <c r="K19" s="8">
        <v>14308.758</v>
      </c>
      <c r="L19" s="8">
        <v>12524.931</v>
      </c>
      <c r="M19" s="8">
        <v>14173.168</v>
      </c>
      <c r="N19" s="8">
        <v>21024.814999999999</v>
      </c>
      <c r="O19" s="8">
        <v>17018.409</v>
      </c>
      <c r="P19" s="8">
        <v>16393.228999999999</v>
      </c>
      <c r="Q19" s="8">
        <v>16993.379000000001</v>
      </c>
      <c r="R19" s="8"/>
      <c r="S19" s="9">
        <f t="shared" ref="S19:S30" si="2">+((Q19/P19)-1)*100</f>
        <v>3.660962706005022</v>
      </c>
    </row>
    <row r="20" spans="1:19" ht="14.4" customHeight="1" x14ac:dyDescent="0.35">
      <c r="A20" s="7" t="s">
        <v>16</v>
      </c>
      <c r="B20" s="8">
        <v>4713</v>
      </c>
      <c r="C20" s="8">
        <v>6977</v>
      </c>
      <c r="D20" s="8">
        <v>7232</v>
      </c>
      <c r="E20" s="8">
        <v>5253</v>
      </c>
      <c r="F20" s="8">
        <v>4154</v>
      </c>
      <c r="G20" s="8">
        <v>3715</v>
      </c>
      <c r="H20" s="8">
        <v>1776.6869999999999</v>
      </c>
      <c r="I20" s="8">
        <v>2087.0830000000001</v>
      </c>
      <c r="J20" s="8">
        <v>4261.152</v>
      </c>
      <c r="K20" s="8">
        <v>3114.4169999999999</v>
      </c>
      <c r="L20" s="8">
        <v>2473.4899999999998</v>
      </c>
      <c r="M20" s="8">
        <v>3607.989</v>
      </c>
      <c r="N20" s="8">
        <v>8839.1270000000004</v>
      </c>
      <c r="O20" s="8">
        <v>4733.7569999999996</v>
      </c>
      <c r="P20" s="8">
        <v>3119.886</v>
      </c>
      <c r="Q20" s="8">
        <v>4087.6410000000001</v>
      </c>
      <c r="R20" s="8"/>
      <c r="S20" s="9">
        <f t="shared" si="2"/>
        <v>31.018921845221282</v>
      </c>
    </row>
    <row r="21" spans="1:19" ht="14.4" customHeight="1" x14ac:dyDescent="0.35">
      <c r="A21" s="7" t="s">
        <v>17</v>
      </c>
      <c r="B21" s="10">
        <v>38.072542208579044</v>
      </c>
      <c r="C21" s="10">
        <v>43.427113158222333</v>
      </c>
      <c r="D21" s="10">
        <v>41.29032258064516</v>
      </c>
      <c r="E21" s="10">
        <v>33.121059268600249</v>
      </c>
      <c r="F21" s="10">
        <v>27.774806097887133</v>
      </c>
      <c r="G21" s="10">
        <v>26.867722571779851</v>
      </c>
      <c r="H21" s="10">
        <v>15.193810369049723</v>
      </c>
      <c r="I21" s="10">
        <v>18.090734557762406</v>
      </c>
      <c r="J21" s="10">
        <v>29.103138293712654</v>
      </c>
      <c r="K21" s="10">
        <v>21.765809443419197</v>
      </c>
      <c r="L21" s="10">
        <v>19.748531948000352</v>
      </c>
      <c r="M21" s="10">
        <v>25.45647522134783</v>
      </c>
      <c r="N21" s="10">
        <v>42.041402028983377</v>
      </c>
      <c r="O21" s="10">
        <v>27.815508488484436</v>
      </c>
      <c r="P21" s="10">
        <v>19.031552600161934</v>
      </c>
      <c r="Q21" s="10">
        <v>24.054315507233728</v>
      </c>
      <c r="R21" s="10"/>
      <c r="S21" s="9">
        <f t="shared" si="2"/>
        <v>26.391766413366913</v>
      </c>
    </row>
    <row r="22" spans="1:19" ht="14.4" customHeight="1" x14ac:dyDescent="0.35">
      <c r="A22" s="7" t="s">
        <v>18</v>
      </c>
      <c r="B22" s="11">
        <v>291</v>
      </c>
      <c r="C22" s="11">
        <v>296</v>
      </c>
      <c r="D22" s="11">
        <v>250</v>
      </c>
      <c r="E22" s="11">
        <v>347</v>
      </c>
      <c r="F22" s="11">
        <v>298</v>
      </c>
      <c r="G22" s="14">
        <v>444.92700000000002</v>
      </c>
      <c r="H22" s="14">
        <v>507.649</v>
      </c>
      <c r="I22" s="14">
        <v>523.94499999999994</v>
      </c>
      <c r="J22" s="14">
        <v>614.774</v>
      </c>
      <c r="K22" s="14">
        <v>412.11900000000003</v>
      </c>
      <c r="L22" s="14">
        <v>442</v>
      </c>
      <c r="M22" s="14">
        <v>702.25099999999998</v>
      </c>
      <c r="N22" s="14">
        <v>627.35199999999998</v>
      </c>
      <c r="O22" s="14">
        <v>521.81500000000005</v>
      </c>
      <c r="P22" s="14">
        <v>679.85900000000004</v>
      </c>
      <c r="Q22" s="14">
        <v>785.55499999999995</v>
      </c>
      <c r="R22" s="14"/>
      <c r="S22" s="9">
        <f t="shared" si="2"/>
        <v>15.546753076740893</v>
      </c>
    </row>
    <row r="23" spans="1:19" ht="14.4" customHeight="1" x14ac:dyDescent="0.35">
      <c r="A23" s="7" t="s">
        <v>19</v>
      </c>
      <c r="B23" s="8">
        <v>1082</v>
      </c>
      <c r="C23" s="8">
        <v>1305</v>
      </c>
      <c r="D23" s="8">
        <v>1485</v>
      </c>
      <c r="E23" s="8">
        <v>1606</v>
      </c>
      <c r="F23" s="8">
        <v>1748</v>
      </c>
      <c r="G23" s="8">
        <v>1946.857</v>
      </c>
      <c r="H23" s="8">
        <v>2024.84</v>
      </c>
      <c r="I23" s="8">
        <v>1936.152</v>
      </c>
      <c r="J23" s="8">
        <v>2101.1010000000001</v>
      </c>
      <c r="K23" s="8">
        <v>2181.14</v>
      </c>
      <c r="L23" s="8">
        <v>2220</v>
      </c>
      <c r="M23" s="8">
        <v>2455.0700000000002</v>
      </c>
      <c r="N23" s="8">
        <v>2259.3240000000001</v>
      </c>
      <c r="O23" s="8">
        <v>2227.2840000000001</v>
      </c>
      <c r="P23" s="8">
        <v>2292.1260000000002</v>
      </c>
      <c r="Q23" s="8">
        <v>2266.721</v>
      </c>
      <c r="R23" s="8"/>
      <c r="S23" s="9">
        <f t="shared" si="2"/>
        <v>-1.1083596626014547</v>
      </c>
    </row>
    <row r="24" spans="1:19" ht="16.25" customHeight="1" x14ac:dyDescent="0.35">
      <c r="A24" s="7" t="s">
        <v>20</v>
      </c>
      <c r="B24" s="8">
        <v>5369</v>
      </c>
      <c r="C24" s="8">
        <v>7434</v>
      </c>
      <c r="D24" s="8">
        <v>8813</v>
      </c>
      <c r="E24" s="8">
        <v>9818</v>
      </c>
      <c r="F24" s="8">
        <v>5964</v>
      </c>
      <c r="G24" s="8">
        <v>5444.5240000000003</v>
      </c>
      <c r="H24" s="8">
        <v>3575.306</v>
      </c>
      <c r="I24" s="8">
        <v>2918.4780000000001</v>
      </c>
      <c r="J24" s="8">
        <v>5667.3140000000003</v>
      </c>
      <c r="K24" s="8">
        <v>4695.7920000000004</v>
      </c>
      <c r="L24" s="8">
        <v>4042.748</v>
      </c>
      <c r="M24" s="8">
        <v>5289.0810000000001</v>
      </c>
      <c r="N24" s="8">
        <v>10378.724</v>
      </c>
      <c r="O24" s="8">
        <v>5565.01</v>
      </c>
      <c r="P24" s="8">
        <v>4184.2749999999996</v>
      </c>
      <c r="Q24" s="8">
        <v>5439.0219999999999</v>
      </c>
      <c r="R24" s="8"/>
      <c r="S24" s="9">
        <f t="shared" si="2"/>
        <v>29.987202083993058</v>
      </c>
    </row>
    <row r="25" spans="1:19" ht="14.4" customHeight="1" x14ac:dyDescent="0.35">
      <c r="A25" s="7" t="s">
        <v>21</v>
      </c>
      <c r="B25" s="12">
        <v>43.371839405444703</v>
      </c>
      <c r="C25" s="12">
        <v>46.271629528196186</v>
      </c>
      <c r="D25" s="12">
        <v>50.316871253211538</v>
      </c>
      <c r="E25" s="12">
        <v>61.904161412358135</v>
      </c>
      <c r="F25" s="12">
        <v>39.876972452527411</v>
      </c>
      <c r="G25" s="12">
        <v>39.376032400376076</v>
      </c>
      <c r="H25" s="12">
        <v>30.575178056306875</v>
      </c>
      <c r="I25" s="12">
        <v>25.297226229464432</v>
      </c>
      <c r="J25" s="12">
        <v>38.707049900095996</v>
      </c>
      <c r="K25" s="12">
        <v>32.817607230480803</v>
      </c>
      <c r="L25" s="12">
        <v>32.277606958473463</v>
      </c>
      <c r="M25" s="12">
        <v>37.317563723226876</v>
      </c>
      <c r="N25" s="12">
        <v>37.317563723226876</v>
      </c>
      <c r="O25" s="12">
        <v>32.699942750230058</v>
      </c>
      <c r="P25" s="12">
        <v>25.524410108588121</v>
      </c>
      <c r="Q25" s="12">
        <f>100*Q24/Q19</f>
        <v>32.006712732058759</v>
      </c>
      <c r="R25" s="8">
        <f>[1]INGLES!Q25</f>
        <v>0</v>
      </c>
      <c r="S25" s="9">
        <f t="shared" si="2"/>
        <v>25.396483585293737</v>
      </c>
    </row>
    <row r="26" spans="1:19" ht="14.4" customHeight="1" x14ac:dyDescent="0.35">
      <c r="A26" s="7" t="s">
        <v>22</v>
      </c>
      <c r="B26" s="15">
        <v>1.2194288503783257</v>
      </c>
      <c r="C26" s="15">
        <v>1.263157894736842</v>
      </c>
      <c r="D26" s="15">
        <v>1.3376358695652173</v>
      </c>
      <c r="E26" s="15">
        <v>1.578804350452238</v>
      </c>
      <c r="F26" s="15">
        <v>1.4354565364897867</v>
      </c>
      <c r="G26" s="15">
        <v>1.7219421477780714</v>
      </c>
      <c r="H26" s="15">
        <v>1.6275072618578104</v>
      </c>
      <c r="I26" s="15">
        <v>1.9047746292010446</v>
      </c>
      <c r="J26" s="15">
        <v>1.8733631210910353</v>
      </c>
      <c r="K26" s="15">
        <v>1.646659388621613</v>
      </c>
      <c r="L26" s="15">
        <v>1.5422093589096184</v>
      </c>
      <c r="M26" s="15">
        <v>2.2991670424031319</v>
      </c>
      <c r="N26" s="15">
        <v>1.9807445116971156</v>
      </c>
      <c r="O26" s="15">
        <v>1.733163881509558</v>
      </c>
      <c r="P26" s="15">
        <v>1.6627074055716</v>
      </c>
      <c r="Q26" s="15">
        <f>+Q35/Q37</f>
        <v>1.3001612271495711</v>
      </c>
      <c r="R26" s="8">
        <f>[1]INGLES!Q26</f>
        <v>0</v>
      </c>
      <c r="S26" s="9">
        <f t="shared" si="2"/>
        <v>-21.804568693635794</v>
      </c>
    </row>
    <row r="27" spans="1:19" ht="16.5" x14ac:dyDescent="0.35">
      <c r="A27" s="7" t="s">
        <v>23</v>
      </c>
      <c r="B27" s="12">
        <v>42.750232302786294</v>
      </c>
      <c r="C27" s="12">
        <v>50.309985707110968</v>
      </c>
      <c r="D27" s="12">
        <v>43.20573432972396</v>
      </c>
      <c r="E27" s="12">
        <v>36.674167279574476</v>
      </c>
      <c r="F27" s="12">
        <v>43.816110313385018</v>
      </c>
      <c r="G27" s="12">
        <v>49.094655065294809</v>
      </c>
      <c r="H27" s="12">
        <v>53.445746704554288</v>
      </c>
      <c r="I27" s="12">
        <v>57.971749639899549</v>
      </c>
      <c r="J27" s="12">
        <v>51.917097624241094</v>
      </c>
      <c r="K27" s="12">
        <v>52.060299535822473</v>
      </c>
      <c r="L27" s="12">
        <v>55.302160167359119</v>
      </c>
      <c r="M27" s="12">
        <v>53.285573906436788</v>
      </c>
      <c r="N27" s="12">
        <v>54.81822394328573</v>
      </c>
      <c r="O27" s="12">
        <v>56.303787817946507</v>
      </c>
      <c r="P27" s="12">
        <f>+(P38-P34)/(P38+P40)*100</f>
        <v>60.849164587357599</v>
      </c>
      <c r="Q27" s="12">
        <f>+(Q38-Q34)/(Q38+Q40)*100</f>
        <v>65.163075312308237</v>
      </c>
      <c r="R27" s="15"/>
      <c r="S27" s="9">
        <f t="shared" si="2"/>
        <v>7.0895151218673069</v>
      </c>
    </row>
    <row r="28" spans="1:19" ht="16.5" x14ac:dyDescent="0.35">
      <c r="A28" s="7" t="s">
        <v>24</v>
      </c>
      <c r="B28" s="16">
        <v>0.72545241199478483</v>
      </c>
      <c r="C28" s="16">
        <v>0.73613626580575731</v>
      </c>
      <c r="D28" s="16">
        <v>0.64291387722682403</v>
      </c>
      <c r="E28" s="16">
        <v>0.79295253615807704</v>
      </c>
      <c r="F28" s="16">
        <v>1.7206155264922871</v>
      </c>
      <c r="G28" s="16">
        <v>2.2793854889793854</v>
      </c>
      <c r="H28" s="16">
        <v>3.6896791491413601</v>
      </c>
      <c r="I28" s="16">
        <v>4.9517128448458418</v>
      </c>
      <c r="J28" s="16">
        <v>2.3577904806403875</v>
      </c>
      <c r="K28" s="16">
        <v>2.9611596936150497</v>
      </c>
      <c r="L28" s="16">
        <v>4.0124121018673433</v>
      </c>
      <c r="M28" s="16">
        <v>3.05738823058297</v>
      </c>
      <c r="N28" s="16">
        <v>1.5406199259176754</v>
      </c>
      <c r="O28" s="16">
        <v>2.9365747770444255</v>
      </c>
      <c r="P28" s="16">
        <v>4.6017099736513494</v>
      </c>
      <c r="Q28" s="16">
        <f>(Q38-Q34)/Q24</f>
        <v>4.120799290754845</v>
      </c>
      <c r="R28" s="17"/>
      <c r="S28" s="9">
        <f t="shared" si="2"/>
        <v>-10.450695190486181</v>
      </c>
    </row>
    <row r="29" spans="1:19" ht="16.5" x14ac:dyDescent="0.35">
      <c r="A29" s="7" t="s">
        <v>46</v>
      </c>
      <c r="B29" s="18">
        <v>18.45017182130584</v>
      </c>
      <c r="C29" s="18">
        <v>25.114864864864863</v>
      </c>
      <c r="D29" s="18">
        <v>35.252000000000002</v>
      </c>
      <c r="E29" s="18">
        <v>28.293948126801151</v>
      </c>
      <c r="F29" s="18">
        <v>20.013422818791945</v>
      </c>
      <c r="G29" s="18">
        <v>12.236892793649295</v>
      </c>
      <c r="H29" s="18">
        <v>7.0428701721071052</v>
      </c>
      <c r="I29" s="18">
        <v>5.570199162125796</v>
      </c>
      <c r="J29" s="18">
        <v>9.2185323387130893</v>
      </c>
      <c r="K29" s="18">
        <v>11.394262336849309</v>
      </c>
      <c r="L29" s="18">
        <v>9.1464886877828047</v>
      </c>
      <c r="M29" s="18">
        <v>7.5316104925446892</v>
      </c>
      <c r="N29" s="18">
        <v>16.543701143855444</v>
      </c>
      <c r="O29" s="18">
        <v>10.664718338874888</v>
      </c>
      <c r="P29" s="18">
        <v>6.1546217671605428</v>
      </c>
      <c r="Q29" s="18">
        <f>+Q24/Q22</f>
        <v>6.9237952784973684</v>
      </c>
      <c r="R29" s="18"/>
      <c r="S29" s="9">
        <f t="shared" si="2"/>
        <v>12.497494410475962</v>
      </c>
    </row>
    <row r="30" spans="1:19" s="19" customFormat="1" ht="16.5" x14ac:dyDescent="0.35">
      <c r="A30" s="7" t="s">
        <v>25</v>
      </c>
      <c r="B30" s="8">
        <v>2966</v>
      </c>
      <c r="C30" s="8">
        <v>5992</v>
      </c>
      <c r="D30" s="8">
        <v>6901</v>
      </c>
      <c r="E30" s="8">
        <v>3177</v>
      </c>
      <c r="F30" s="8">
        <v>2861</v>
      </c>
      <c r="G30" s="8">
        <v>2234</v>
      </c>
      <c r="H30" s="8">
        <v>1088</v>
      </c>
      <c r="I30" s="8">
        <v>942</v>
      </c>
      <c r="J30" s="8">
        <v>1366</v>
      </c>
      <c r="K30" s="8">
        <v>1809</v>
      </c>
      <c r="L30" s="8">
        <v>1000</v>
      </c>
      <c r="M30" s="8">
        <v>1292</v>
      </c>
      <c r="N30" s="8">
        <v>5548.1</v>
      </c>
      <c r="O30" s="8">
        <v>2295.4</v>
      </c>
      <c r="P30" s="8">
        <v>1426.8810000000001</v>
      </c>
      <c r="Q30" s="8">
        <v>1534</v>
      </c>
      <c r="R30" s="18"/>
      <c r="S30" s="9">
        <f t="shared" si="2"/>
        <v>7.5072132854806961</v>
      </c>
    </row>
    <row r="31" spans="1:19" s="19" customFormat="1" x14ac:dyDescent="0.3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</row>
    <row r="32" spans="1:19" ht="15" thickBot="1" x14ac:dyDescent="0.4">
      <c r="A32" s="55" t="s">
        <v>26</v>
      </c>
      <c r="B32" s="54" t="str">
        <f>+B2</f>
        <v>31 diciembre,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2"/>
      <c r="S32" s="3"/>
    </row>
    <row r="33" spans="1:27" x14ac:dyDescent="0.35">
      <c r="A33" s="56"/>
      <c r="B33" s="5">
        <v>2009</v>
      </c>
      <c r="C33" s="5">
        <v>2010</v>
      </c>
      <c r="D33" s="5">
        <v>2011</v>
      </c>
      <c r="E33" s="5">
        <v>2012</v>
      </c>
      <c r="F33" s="5">
        <v>2013</v>
      </c>
      <c r="G33" s="5">
        <v>2014</v>
      </c>
      <c r="H33" s="5">
        <v>2015</v>
      </c>
      <c r="I33" s="5">
        <v>2016</v>
      </c>
      <c r="J33" s="5">
        <v>2017</v>
      </c>
      <c r="K33" s="5">
        <v>2018</v>
      </c>
      <c r="L33" s="5">
        <v>2019</v>
      </c>
      <c r="M33" s="5">
        <v>2020</v>
      </c>
      <c r="N33" s="5">
        <v>2021</v>
      </c>
      <c r="O33" s="5">
        <v>2022</v>
      </c>
      <c r="P33" s="5">
        <v>2023</v>
      </c>
      <c r="Q33" s="5">
        <f>+Q3</f>
        <v>2024</v>
      </c>
      <c r="R33" s="6"/>
      <c r="S33" s="5" t="s">
        <v>3</v>
      </c>
    </row>
    <row r="34" spans="1:27" x14ac:dyDescent="0.35">
      <c r="A34" s="7" t="s">
        <v>27</v>
      </c>
      <c r="B34" s="8">
        <v>773</v>
      </c>
      <c r="C34" s="8">
        <v>874</v>
      </c>
      <c r="D34" s="8">
        <v>1383</v>
      </c>
      <c r="E34" s="8">
        <v>1263.8230000000001</v>
      </c>
      <c r="F34" s="8">
        <v>750.67</v>
      </c>
      <c r="G34" s="8">
        <v>1342.364</v>
      </c>
      <c r="H34" s="8">
        <v>1757.92</v>
      </c>
      <c r="I34" s="8">
        <v>586.58699999999999</v>
      </c>
      <c r="J34" s="8">
        <v>1450.162</v>
      </c>
      <c r="K34" s="8">
        <v>1460.5340000000001</v>
      </c>
      <c r="L34" s="8">
        <v>1476.056</v>
      </c>
      <c r="M34" s="8">
        <v>2390.89</v>
      </c>
      <c r="N34" s="8">
        <v>1603.9579999999999</v>
      </c>
      <c r="O34" s="8">
        <v>1028.1780000000001</v>
      </c>
      <c r="P34" s="8">
        <v>1342.0550000000001</v>
      </c>
      <c r="Q34" s="8">
        <f>+'[3]EERR CONS'!$D$13/1000</f>
        <v>680.82</v>
      </c>
      <c r="R34" s="8"/>
      <c r="S34" s="9">
        <f t="shared" ref="S34:S41" si="3">+((Q34/P34)-1)*100</f>
        <v>-49.270335418444098</v>
      </c>
    </row>
    <row r="35" spans="1:27" x14ac:dyDescent="0.35">
      <c r="A35" s="7" t="s">
        <v>28</v>
      </c>
      <c r="B35" s="8">
        <v>4996</v>
      </c>
      <c r="C35" s="8">
        <v>6624</v>
      </c>
      <c r="D35" s="8">
        <v>5907</v>
      </c>
      <c r="E35" s="8">
        <v>6534.6270000000004</v>
      </c>
      <c r="F35" s="8">
        <v>5424.24</v>
      </c>
      <c r="G35" s="8">
        <v>6157.3810000000003</v>
      </c>
      <c r="H35" s="8">
        <v>6057.8879999999999</v>
      </c>
      <c r="I35" s="8">
        <v>4690.4179999999997</v>
      </c>
      <c r="J35" s="8">
        <v>6211.0529999999999</v>
      </c>
      <c r="K35" s="8">
        <v>5828.2060000000001</v>
      </c>
      <c r="L35" s="8">
        <v>6050.0209999999997</v>
      </c>
      <c r="M35" s="8">
        <v>7758.1220000000003</v>
      </c>
      <c r="N35" s="8">
        <v>7801.9089999999997</v>
      </c>
      <c r="O35" s="8">
        <v>6794.8429999999998</v>
      </c>
      <c r="P35" s="8">
        <v>7289.2809999999999</v>
      </c>
      <c r="Q35" s="8">
        <v>6446.4880000000003</v>
      </c>
      <c r="R35" s="8"/>
      <c r="S35" s="9">
        <f t="shared" si="3"/>
        <v>-11.56208685054122</v>
      </c>
      <c r="Z35" t="s">
        <v>41</v>
      </c>
      <c r="AA35">
        <f>+SUMPRODUCT(Z37:AA37,Z38:AA38)/SUM(Z37:AA37)</f>
        <v>0.64266576470183567</v>
      </c>
    </row>
    <row r="36" spans="1:27" x14ac:dyDescent="0.35">
      <c r="A36" s="7" t="s">
        <v>47</v>
      </c>
      <c r="B36" s="8">
        <v>18254</v>
      </c>
      <c r="C36" s="8">
        <v>20279</v>
      </c>
      <c r="D36" s="8">
        <v>20835</v>
      </c>
      <c r="E36" s="8">
        <v>31660.077000000001</v>
      </c>
      <c r="F36" s="8">
        <v>33355.163</v>
      </c>
      <c r="G36" s="8">
        <v>35256.565999999999</v>
      </c>
      <c r="H36" s="8">
        <v>33304.915000000001</v>
      </c>
      <c r="I36" s="8">
        <v>33421.129999999997</v>
      </c>
      <c r="J36" s="8">
        <v>36356.141000000003</v>
      </c>
      <c r="K36" s="8">
        <v>37090.805</v>
      </c>
      <c r="L36" s="8">
        <v>40344.610999999997</v>
      </c>
      <c r="M36" s="8">
        <v>42210.385999999999</v>
      </c>
      <c r="N36" s="8">
        <v>43057.434999999998</v>
      </c>
      <c r="O36" s="8">
        <v>44737.232000000004</v>
      </c>
      <c r="P36" s="8">
        <v>46876.248</v>
      </c>
      <c r="Q36" s="8">
        <f>+'[3]EERR CONS'!$D$46/1000</f>
        <v>49700.718000000001</v>
      </c>
      <c r="R36" s="8"/>
      <c r="S36" s="9">
        <f t="shared" si="3"/>
        <v>6.0253755804005493</v>
      </c>
      <c r="Z36" t="s">
        <v>42</v>
      </c>
      <c r="AA36" t="s">
        <v>43</v>
      </c>
    </row>
    <row r="37" spans="1:27" x14ac:dyDescent="0.35">
      <c r="A37" s="7" t="s">
        <v>29</v>
      </c>
      <c r="B37" s="8">
        <v>4097</v>
      </c>
      <c r="C37" s="8">
        <v>5244</v>
      </c>
      <c r="D37" s="8">
        <v>4416</v>
      </c>
      <c r="E37" s="8">
        <v>4138.9719999999998</v>
      </c>
      <c r="F37" s="8">
        <v>3778.7559999999999</v>
      </c>
      <c r="G37" s="8">
        <v>3575.835</v>
      </c>
      <c r="H37" s="8">
        <v>3722.1880000000001</v>
      </c>
      <c r="I37" s="8">
        <v>2462.453</v>
      </c>
      <c r="J37" s="8">
        <v>3315.4560000000001</v>
      </c>
      <c r="K37" s="8">
        <v>3539.4119999999998</v>
      </c>
      <c r="L37" s="20">
        <v>3922.9569999999999</v>
      </c>
      <c r="M37" s="20">
        <v>3439.9110000000001</v>
      </c>
      <c r="N37" s="8">
        <v>3938.877</v>
      </c>
      <c r="O37" s="8">
        <v>3920.4850000000001</v>
      </c>
      <c r="P37" s="8">
        <v>4383.9830000000002</v>
      </c>
      <c r="Q37" s="8">
        <v>4958.2219999999998</v>
      </c>
      <c r="R37" s="20"/>
      <c r="S37" s="9">
        <f t="shared" si="3"/>
        <v>13.098568128571664</v>
      </c>
      <c r="Y37" t="s">
        <v>44</v>
      </c>
      <c r="Z37">
        <v>160690</v>
      </c>
      <c r="AA37">
        <v>100961</v>
      </c>
    </row>
    <row r="38" spans="1:27" ht="16.5" x14ac:dyDescent="0.35">
      <c r="A38" s="7" t="s">
        <v>30</v>
      </c>
      <c r="B38" s="20">
        <v>4667.9539999999997</v>
      </c>
      <c r="C38" s="20">
        <v>6346.4369999999999</v>
      </c>
      <c r="D38" s="20">
        <v>7049</v>
      </c>
      <c r="E38" s="20">
        <v>9049.0310000000009</v>
      </c>
      <c r="F38" s="20">
        <v>11012.421</v>
      </c>
      <c r="G38" s="20">
        <v>13752.532999999999</v>
      </c>
      <c r="H38" s="20">
        <v>14949.652</v>
      </c>
      <c r="I38" s="20">
        <v>15038.052000000001</v>
      </c>
      <c r="J38" s="20">
        <v>14812.500999999998</v>
      </c>
      <c r="K38" s="20">
        <v>15365.524000000001</v>
      </c>
      <c r="L38" s="20">
        <v>17697.226999999999</v>
      </c>
      <c r="M38" s="20">
        <v>18561.664000000001</v>
      </c>
      <c r="N38" s="8">
        <v>17593.627</v>
      </c>
      <c r="O38" s="8">
        <v>17370.245999999999</v>
      </c>
      <c r="P38" s="8">
        <v>20596.875</v>
      </c>
      <c r="Q38" s="8">
        <v>23093.937999999998</v>
      </c>
      <c r="R38" s="20"/>
      <c r="S38" s="9">
        <f t="shared" si="3"/>
        <v>12.123504172356236</v>
      </c>
      <c r="Y38" t="s">
        <v>45</v>
      </c>
      <c r="Z38">
        <v>0.77</v>
      </c>
      <c r="AA38">
        <v>0.44</v>
      </c>
    </row>
    <row r="39" spans="1:27" x14ac:dyDescent="0.35">
      <c r="A39" s="7" t="s">
        <v>31</v>
      </c>
      <c r="B39" s="8">
        <v>13811</v>
      </c>
      <c r="C39" s="8">
        <v>15748</v>
      </c>
      <c r="D39" s="8">
        <v>14770</v>
      </c>
      <c r="E39" s="8">
        <v>19481.064999999999</v>
      </c>
      <c r="F39" s="8">
        <v>20947.543000000001</v>
      </c>
      <c r="G39" s="8">
        <v>23733</v>
      </c>
      <c r="H39" s="8">
        <v>23572.094000000001</v>
      </c>
      <c r="I39" s="8">
        <v>23530.721000000001</v>
      </c>
      <c r="J39" s="8">
        <v>25430.803</v>
      </c>
      <c r="K39" s="8">
        <v>25746.936000000002</v>
      </c>
      <c r="L39" s="8">
        <v>28799.944</v>
      </c>
      <c r="M39" s="8">
        <v>30599.562999999998</v>
      </c>
      <c r="N39" s="8">
        <v>31482.534</v>
      </c>
      <c r="O39" s="8">
        <v>33082.667000000001</v>
      </c>
      <c r="P39" s="8">
        <v>35829.599000000002</v>
      </c>
      <c r="Q39" s="8">
        <f>+('[3]EERR CONS'!$D$86+'[3]EERR CONS'!$D$72)/1000</f>
        <v>38399.228999999999</v>
      </c>
      <c r="R39" s="8"/>
      <c r="S39" s="9">
        <f t="shared" si="3"/>
        <v>7.1718078675678143</v>
      </c>
    </row>
    <row r="40" spans="1:27" x14ac:dyDescent="0.35">
      <c r="A40" s="7" t="s">
        <v>32</v>
      </c>
      <c r="B40" s="8">
        <v>4443</v>
      </c>
      <c r="C40" s="8">
        <v>4531</v>
      </c>
      <c r="D40" s="8">
        <v>6065</v>
      </c>
      <c r="E40" s="8">
        <v>12179.012000000001</v>
      </c>
      <c r="F40" s="8">
        <v>12407.62</v>
      </c>
      <c r="G40" s="8">
        <v>11525.512000000001</v>
      </c>
      <c r="H40" s="8">
        <v>9732.8209999999999</v>
      </c>
      <c r="I40" s="8">
        <v>9890.4089999999997</v>
      </c>
      <c r="J40" s="8">
        <v>10925.338</v>
      </c>
      <c r="K40" s="8">
        <v>11343.869000000001</v>
      </c>
      <c r="L40" s="8">
        <v>11634.666999999999</v>
      </c>
      <c r="M40" s="8">
        <v>11626</v>
      </c>
      <c r="N40" s="8">
        <v>11574.901</v>
      </c>
      <c r="O40" s="8">
        <v>11654.565000000001</v>
      </c>
      <c r="P40" s="8">
        <v>11046.648999999999</v>
      </c>
      <c r="Q40" s="8">
        <f>+'[3]EERR CONS'!$D$97/1000</f>
        <v>11301.489</v>
      </c>
      <c r="R40" s="8"/>
      <c r="S40" s="9">
        <f t="shared" si="3"/>
        <v>2.306943942909756</v>
      </c>
    </row>
    <row r="41" spans="1:27" ht="16.5" x14ac:dyDescent="0.35">
      <c r="A41" s="7" t="s">
        <v>33</v>
      </c>
      <c r="B41" s="8">
        <v>3894.9539999999997</v>
      </c>
      <c r="C41" s="8">
        <v>5472.4369999999999</v>
      </c>
      <c r="D41" s="8">
        <v>5666</v>
      </c>
      <c r="E41" s="8">
        <v>7785.2080000000005</v>
      </c>
      <c r="F41" s="8">
        <v>10261.751</v>
      </c>
      <c r="G41" s="8">
        <v>12410.169</v>
      </c>
      <c r="H41" s="8">
        <v>13191.732</v>
      </c>
      <c r="I41" s="8">
        <v>14451.465000000002</v>
      </c>
      <c r="J41" s="8">
        <v>13362.338999999998</v>
      </c>
      <c r="K41" s="8">
        <v>13904.990000000002</v>
      </c>
      <c r="L41" s="8">
        <v>16221.170999999998</v>
      </c>
      <c r="M41" s="8">
        <v>16170.774000000001</v>
      </c>
      <c r="N41" s="8">
        <v>15989.669</v>
      </c>
      <c r="O41" s="8">
        <v>16342.067999999999</v>
      </c>
      <c r="P41" s="8">
        <v>19254.82</v>
      </c>
      <c r="Q41" s="8">
        <v>22250.217000000001</v>
      </c>
      <c r="R41" s="8">
        <v>0</v>
      </c>
      <c r="S41" s="9">
        <f t="shared" si="3"/>
        <v>15.556608682916796</v>
      </c>
    </row>
    <row r="42" spans="1:27" ht="14.4" hidden="1" customHeight="1" x14ac:dyDescent="0.35">
      <c r="A42" s="7" t="s">
        <v>34</v>
      </c>
      <c r="B42" s="8"/>
      <c r="C42" s="8"/>
      <c r="D42" s="8">
        <v>1576</v>
      </c>
      <c r="E42" s="8">
        <v>1264</v>
      </c>
      <c r="F42" s="8">
        <v>1198</v>
      </c>
      <c r="G42" s="8">
        <v>989</v>
      </c>
      <c r="H42" s="8">
        <v>867</v>
      </c>
      <c r="I42" s="8">
        <v>942</v>
      </c>
      <c r="J42" s="8">
        <v>1062</v>
      </c>
      <c r="K42" s="8"/>
      <c r="L42" s="8"/>
      <c r="M42" s="8"/>
      <c r="N42" s="8"/>
      <c r="O42" s="8"/>
      <c r="P42" s="8"/>
      <c r="Q42" s="24"/>
      <c r="R42" s="8"/>
      <c r="S42" s="9"/>
    </row>
    <row r="43" spans="1:27" ht="14.4" hidden="1" customHeight="1" x14ac:dyDescent="0.35">
      <c r="A43" s="7"/>
      <c r="B43" s="8"/>
      <c r="C43" s="8"/>
      <c r="D43" s="8">
        <v>7237</v>
      </c>
      <c r="E43" s="8">
        <v>4763</v>
      </c>
      <c r="F43" s="8">
        <v>4766</v>
      </c>
      <c r="G43" s="8">
        <v>4455.5240000000003</v>
      </c>
      <c r="H43" s="8">
        <v>2708.306</v>
      </c>
      <c r="I43" s="8">
        <v>1976.4780000000001</v>
      </c>
      <c r="J43" s="8">
        <v>4605.3140000000003</v>
      </c>
      <c r="K43" s="8"/>
      <c r="L43" s="8"/>
      <c r="M43" s="8"/>
      <c r="N43" s="8"/>
      <c r="O43" s="8"/>
      <c r="P43" s="8"/>
      <c r="Q43" s="24"/>
      <c r="R43" s="8"/>
      <c r="S43" s="9"/>
    </row>
    <row r="44" spans="1:27" ht="16.5" x14ac:dyDescent="0.35">
      <c r="A44" s="7" t="s">
        <v>39</v>
      </c>
      <c r="Q44" s="21"/>
      <c r="S44" s="21"/>
    </row>
    <row r="45" spans="1:27" ht="16.5" x14ac:dyDescent="0.35">
      <c r="A45" s="7" t="s">
        <v>35</v>
      </c>
      <c r="Q45" s="21"/>
    </row>
    <row r="46" spans="1:27" ht="16.5" x14ac:dyDescent="0.35">
      <c r="A46" s="7" t="s">
        <v>40</v>
      </c>
      <c r="Q46" s="21"/>
    </row>
    <row r="47" spans="1:27" ht="16.5" x14ac:dyDescent="0.35">
      <c r="A47" s="7" t="s">
        <v>36</v>
      </c>
      <c r="Q47" s="21"/>
    </row>
    <row r="48" spans="1:27" ht="16.5" x14ac:dyDescent="0.35">
      <c r="A48" s="7" t="s">
        <v>37</v>
      </c>
    </row>
    <row r="49" spans="1:18" ht="16.5" x14ac:dyDescent="0.35">
      <c r="A49" s="7" t="s">
        <v>38</v>
      </c>
    </row>
    <row r="50" spans="1:18" x14ac:dyDescent="0.35">
      <c r="A50" s="7"/>
      <c r="R50" s="22"/>
    </row>
    <row r="51" spans="1:18" x14ac:dyDescent="0.35">
      <c r="A51" s="7"/>
      <c r="R51" s="23"/>
    </row>
    <row r="52" spans="1:18" x14ac:dyDescent="0.35">
      <c r="A52" s="7"/>
    </row>
    <row r="53" spans="1:18" x14ac:dyDescent="0.35">
      <c r="A53" s="7"/>
    </row>
    <row r="54" spans="1:18" x14ac:dyDescent="0.35">
      <c r="A54" s="7"/>
      <c r="L54" s="23"/>
      <c r="M54" s="23"/>
      <c r="N54" s="23"/>
      <c r="O54" s="23"/>
      <c r="P54" s="23"/>
      <c r="Q54" s="23"/>
      <c r="R54" s="23"/>
    </row>
  </sheetData>
  <mergeCells count="8">
    <mergeCell ref="A32:A33"/>
    <mergeCell ref="B32:Q32"/>
    <mergeCell ref="A2:A3"/>
    <mergeCell ref="B2:Q2"/>
    <mergeCell ref="A11:A12"/>
    <mergeCell ref="B11:Q11"/>
    <mergeCell ref="A17:A18"/>
    <mergeCell ref="B17:Q17"/>
  </mergeCells>
  <pageMargins left="0.7" right="0.7" top="0.75" bottom="0.75" header="0.3" footer="0.3"/>
  <pageSetup scale="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ESPAÑOL</vt:lpstr>
      <vt:lpstr>Hoja1</vt:lpstr>
      <vt:lpstr>Versión Data</vt:lpstr>
    </vt:vector>
  </TitlesOfParts>
  <Company>CODELCO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Veloso Figueroa Vicente (Codelco-Casa Matriz)</dc:creator>
  <cp:lastModifiedBy>Veloso Figueroa Vicente (Codelco-Casa Matriz)</cp:lastModifiedBy>
  <dcterms:created xsi:type="dcterms:W3CDTF">2024-08-13T19:19:13Z</dcterms:created>
  <dcterms:modified xsi:type="dcterms:W3CDTF">2025-04-25T16:42:10Z</dcterms:modified>
</cp:coreProperties>
</file>